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5E41CFB5-C6D2-4F2A-A5D2-B52DA5B81A4E}" xr6:coauthVersionLast="47" xr6:coauthVersionMax="47" xr10:uidLastSave="{00000000-0000-0000-0000-000000000000}"/>
  <bookViews>
    <workbookView xWindow="0" yWindow="0" windowWidth="23040" windowHeight="9384" xr2:uid="{00000000-000D-0000-FFFF-FFFF00000000}"/>
  </bookViews>
  <sheets>
    <sheet name="Оголошення з 01.10.2023" sheetId="4" r:id="rId1"/>
    <sheet name="М.Р.5" sheetId="11" r:id="rId2"/>
    <sheet name="М.Р.9" sheetId="12" r:id="rId3"/>
    <sheet name="М.Р.6" sheetId="13" r:id="rId4"/>
    <sheet name="М.Р.7" sheetId="14" r:id="rId5"/>
    <sheet name="М.Р.6.1" sheetId="15" r:id="rId6"/>
    <sheet name="М.Р.7.1" sheetId="16" r:id="rId7"/>
    <sheet name="М.Р.8" sheetId="17" r:id="rId8"/>
    <sheet name="Гідравлика" sheetId="18" r:id="rId9"/>
    <sheet name="Врізка+Пуск 01.08.2021" sheetId="10" state="hidden" r:id="rId10"/>
    <sheet name="Врізка+Пуск на 01.08.2020" sheetId="7" state="hidden" r:id="rId11"/>
    <sheet name="МР5 вспомог 01.08.2020" sheetId="8" state="hidden" r:id="rId12"/>
    <sheet name="Врізка плюс Пуск на 01.07.2019" sheetId="9" state="hidden" r:id="rId13"/>
    <sheet name="М.Р.5 вспомог на 01.04.2019" sheetId="6" state="hidden" r:id="rId14"/>
  </sheets>
  <externalReferences>
    <externalReference r:id="rId15"/>
    <externalReference r:id="rId16"/>
    <externalReference r:id="rId17"/>
    <externalReference r:id="rId18"/>
    <externalReference r:id="rId19"/>
  </externalReferences>
  <definedNames>
    <definedName name="_xlnm._FilterDatabase" localSheetId="9" hidden="1">'Врізка+Пуск 01.08.2021'!$A$12:$Q$12</definedName>
    <definedName name="_xlnm._FilterDatabase" localSheetId="10" hidden="1">'Врізка+Пуск на 01.08.2020'!$A$11:$R$66</definedName>
    <definedName name="_xlnm.Print_Area" localSheetId="0">'Оголошення з 01.10.2023'!$A$1:$D$35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8" l="1"/>
  <c r="G12" i="18" s="1"/>
  <c r="F11" i="18"/>
  <c r="G11" i="18" s="1"/>
  <c r="F10" i="18"/>
  <c r="G10" i="18" s="1"/>
  <c r="F9" i="18"/>
  <c r="G9" i="18" s="1"/>
  <c r="F8" i="18"/>
  <c r="G8" i="18" s="1"/>
  <c r="M7" i="18"/>
  <c r="H7" i="18"/>
  <c r="H11" i="18" l="1"/>
  <c r="I11" i="18"/>
  <c r="I8" i="18"/>
  <c r="H8" i="18"/>
  <c r="J8" i="18" s="1"/>
  <c r="I12" i="18"/>
  <c r="H12" i="18"/>
  <c r="J12" i="18" s="1"/>
  <c r="I10" i="18"/>
  <c r="H10" i="18"/>
  <c r="J10" i="18" s="1"/>
  <c r="I9" i="18"/>
  <c r="H9" i="18"/>
  <c r="J9" i="18" s="1"/>
  <c r="J11" i="18" l="1"/>
  <c r="K8" i="18"/>
  <c r="L8" i="18" s="1"/>
  <c r="K10" i="18"/>
  <c r="L10" i="18" s="1"/>
  <c r="K11" i="18"/>
  <c r="L11" i="18" s="1"/>
  <c r="K12" i="18"/>
  <c r="L12" i="18"/>
  <c r="K9" i="18"/>
  <c r="L9" i="18" s="1"/>
  <c r="M9" i="18" l="1"/>
  <c r="N9" i="18" s="1"/>
  <c r="M11" i="18"/>
  <c r="N11" i="18" s="1"/>
  <c r="M12" i="18"/>
  <c r="N12" i="18"/>
  <c r="M10" i="18"/>
  <c r="N10" i="18" s="1"/>
  <c r="M8" i="18"/>
  <c r="N8" i="18" s="1"/>
  <c r="F9" i="17" l="1"/>
  <c r="E9" i="17"/>
  <c r="F8" i="17"/>
  <c r="G8" i="17" s="1"/>
  <c r="M7" i="17"/>
  <c r="K7" i="17"/>
  <c r="I7" i="17"/>
  <c r="H7" i="17"/>
  <c r="A5" i="17"/>
  <c r="F22" i="16"/>
  <c r="E22" i="16"/>
  <c r="F21" i="16"/>
  <c r="E21" i="16"/>
  <c r="F20" i="16"/>
  <c r="E20" i="16"/>
  <c r="F19" i="16"/>
  <c r="E19" i="16"/>
  <c r="F18" i="16"/>
  <c r="E18" i="16"/>
  <c r="F17" i="16"/>
  <c r="E17" i="16"/>
  <c r="F16" i="16"/>
  <c r="E16" i="16"/>
  <c r="F15" i="16"/>
  <c r="E15" i="16"/>
  <c r="F14" i="16"/>
  <c r="E14" i="16"/>
  <c r="F13" i="16"/>
  <c r="E13" i="16"/>
  <c r="F12" i="16"/>
  <c r="E12" i="16"/>
  <c r="F11" i="16"/>
  <c r="E11" i="16"/>
  <c r="F10" i="16"/>
  <c r="E10" i="16"/>
  <c r="F9" i="16"/>
  <c r="E9" i="16"/>
  <c r="A9" i="16"/>
  <c r="A10" i="16" s="1"/>
  <c r="A11" i="16" s="1"/>
  <c r="A12" i="16" s="1"/>
  <c r="A13" i="16" s="1"/>
  <c r="A14" i="16" s="1"/>
  <c r="A15" i="16" s="1"/>
  <c r="A16" i="16" s="1"/>
  <c r="A17" i="16" s="1"/>
  <c r="A18" i="16" s="1"/>
  <c r="A19" i="16" s="1"/>
  <c r="A20" i="16" s="1"/>
  <c r="A21" i="16" s="1"/>
  <c r="A22" i="16" s="1"/>
  <c r="F8" i="16"/>
  <c r="E8" i="16"/>
  <c r="M7" i="16"/>
  <c r="K7" i="16"/>
  <c r="I7" i="16"/>
  <c r="H7" i="16"/>
  <c r="A5" i="16"/>
  <c r="F22" i="15"/>
  <c r="E22" i="15"/>
  <c r="F21" i="15"/>
  <c r="E21" i="15"/>
  <c r="F20" i="15"/>
  <c r="E20" i="15"/>
  <c r="F19" i="15"/>
  <c r="E19" i="15"/>
  <c r="F18" i="15"/>
  <c r="E18" i="15"/>
  <c r="F17" i="15"/>
  <c r="E17" i="15"/>
  <c r="F16" i="15"/>
  <c r="E16" i="15"/>
  <c r="F15" i="15"/>
  <c r="E15" i="15"/>
  <c r="F14" i="15"/>
  <c r="E14" i="15"/>
  <c r="F13" i="15"/>
  <c r="E13" i="15"/>
  <c r="F12" i="15"/>
  <c r="E12" i="15"/>
  <c r="F11" i="15"/>
  <c r="E11" i="15"/>
  <c r="F10" i="15"/>
  <c r="E10" i="15"/>
  <c r="F9" i="15"/>
  <c r="E9" i="15"/>
  <c r="F8" i="15"/>
  <c r="E8" i="15"/>
  <c r="M7" i="15"/>
  <c r="K7" i="15"/>
  <c r="I7" i="15"/>
  <c r="H7" i="15"/>
  <c r="A5" i="15"/>
  <c r="F22" i="14"/>
  <c r="E22" i="14"/>
  <c r="F21" i="14"/>
  <c r="E21" i="14"/>
  <c r="F20" i="14"/>
  <c r="E20" i="14"/>
  <c r="F19" i="14"/>
  <c r="E19" i="14"/>
  <c r="F18" i="14"/>
  <c r="E18" i="14"/>
  <c r="F17" i="14"/>
  <c r="E17" i="14"/>
  <c r="F16" i="14"/>
  <c r="E16" i="14"/>
  <c r="F15" i="14"/>
  <c r="E15" i="14"/>
  <c r="F14" i="14"/>
  <c r="E14" i="14"/>
  <c r="F13" i="14"/>
  <c r="E13" i="14"/>
  <c r="F12" i="14"/>
  <c r="E12" i="14"/>
  <c r="F11" i="14"/>
  <c r="E11" i="14"/>
  <c r="G11" i="14" s="1"/>
  <c r="F10" i="14"/>
  <c r="E10" i="14"/>
  <c r="F9" i="14"/>
  <c r="E9" i="14"/>
  <c r="A9" i="14"/>
  <c r="A10" i="14" s="1"/>
  <c r="A11" i="14" s="1"/>
  <c r="A12" i="14" s="1"/>
  <c r="A13" i="14" s="1"/>
  <c r="A14" i="14" s="1"/>
  <c r="A15" i="14" s="1"/>
  <c r="A16" i="14" s="1"/>
  <c r="A17" i="14" s="1"/>
  <c r="A18" i="14" s="1"/>
  <c r="A19" i="14" s="1"/>
  <c r="A20" i="14" s="1"/>
  <c r="A21" i="14" s="1"/>
  <c r="A22" i="14" s="1"/>
  <c r="F8" i="14"/>
  <c r="E8" i="14"/>
  <c r="M7" i="14"/>
  <c r="K7" i="14"/>
  <c r="I7" i="14"/>
  <c r="H7" i="14"/>
  <c r="A5" i="14"/>
  <c r="F21" i="13"/>
  <c r="E21" i="13"/>
  <c r="F20" i="13"/>
  <c r="E20" i="13"/>
  <c r="G20" i="13" s="1"/>
  <c r="F19" i="13"/>
  <c r="E19" i="13"/>
  <c r="F18" i="13"/>
  <c r="E18" i="13"/>
  <c r="G18" i="13" s="1"/>
  <c r="F17" i="13"/>
  <c r="E17" i="13"/>
  <c r="F16" i="13"/>
  <c r="E16" i="13"/>
  <c r="G16" i="13" s="1"/>
  <c r="F15" i="13"/>
  <c r="E15" i="13"/>
  <c r="F14" i="13"/>
  <c r="E14" i="13"/>
  <c r="G14" i="13" s="1"/>
  <c r="F13" i="13"/>
  <c r="E13" i="13"/>
  <c r="F12" i="13"/>
  <c r="E12" i="13"/>
  <c r="G12" i="13" s="1"/>
  <c r="F11" i="13"/>
  <c r="E11" i="13"/>
  <c r="F10" i="13"/>
  <c r="E10" i="13"/>
  <c r="G10" i="13" s="1"/>
  <c r="F9" i="13"/>
  <c r="E9" i="13"/>
  <c r="F8" i="13"/>
  <c r="E8" i="13"/>
  <c r="G8" i="13" s="1"/>
  <c r="F7" i="13"/>
  <c r="E7" i="13"/>
  <c r="M6" i="13"/>
  <c r="K6" i="13"/>
  <c r="I6" i="13"/>
  <c r="H6" i="13"/>
  <c r="A4" i="13"/>
  <c r="F15" i="12"/>
  <c r="E15" i="12"/>
  <c r="F14" i="12"/>
  <c r="E14" i="12"/>
  <c r="F13" i="12"/>
  <c r="E13" i="12"/>
  <c r="F12" i="12"/>
  <c r="E12" i="12"/>
  <c r="F11" i="12"/>
  <c r="E11" i="12"/>
  <c r="F10" i="12"/>
  <c r="E10" i="12"/>
  <c r="F9" i="12"/>
  <c r="E9" i="12"/>
  <c r="A9" i="12"/>
  <c r="A10" i="12" s="1"/>
  <c r="A11" i="12" s="1"/>
  <c r="A12" i="12" s="1"/>
  <c r="A13" i="12" s="1"/>
  <c r="A14" i="12" s="1"/>
  <c r="A15" i="12" s="1"/>
  <c r="F8" i="12"/>
  <c r="E8" i="12"/>
  <c r="M7" i="12"/>
  <c r="K7" i="12"/>
  <c r="I7" i="12"/>
  <c r="H7" i="12"/>
  <c r="A5" i="12"/>
  <c r="H60" i="11"/>
  <c r="J60" i="11" s="1"/>
  <c r="K60" i="11" s="1"/>
  <c r="L60" i="11" s="1"/>
  <c r="H59" i="11"/>
  <c r="J59" i="11" s="1"/>
  <c r="H58" i="11"/>
  <c r="J58" i="11" s="1"/>
  <c r="H57" i="11"/>
  <c r="J57" i="11" s="1"/>
  <c r="H55" i="11"/>
  <c r="J55" i="11" s="1"/>
  <c r="K55" i="11" s="1"/>
  <c r="H54" i="11"/>
  <c r="J54" i="11" s="1"/>
  <c r="H53" i="11"/>
  <c r="J53" i="11" s="1"/>
  <c r="H52" i="11"/>
  <c r="J52" i="11" s="1"/>
  <c r="H51" i="11"/>
  <c r="J51" i="11" s="1"/>
  <c r="H50" i="11"/>
  <c r="J50" i="11" s="1"/>
  <c r="H49" i="11"/>
  <c r="J49" i="11" s="1"/>
  <c r="H48" i="11"/>
  <c r="J48" i="11" s="1"/>
  <c r="H47" i="11"/>
  <c r="J47" i="11" s="1"/>
  <c r="K47" i="11" s="1"/>
  <c r="H46" i="11"/>
  <c r="J46" i="11" s="1"/>
  <c r="H45" i="11"/>
  <c r="J45" i="11" s="1"/>
  <c r="H43" i="11"/>
  <c r="J43" i="11" s="1"/>
  <c r="H42" i="11"/>
  <c r="J42" i="11" s="1"/>
  <c r="H40" i="11"/>
  <c r="J40" i="11" s="1"/>
  <c r="H39" i="11"/>
  <c r="J39" i="11" s="1"/>
  <c r="H38" i="11"/>
  <c r="J38" i="11" s="1"/>
  <c r="H37" i="11"/>
  <c r="J37" i="11" s="1"/>
  <c r="K37" i="11" s="1"/>
  <c r="H36" i="11"/>
  <c r="J36" i="11" s="1"/>
  <c r="H35" i="11"/>
  <c r="J35" i="11" s="1"/>
  <c r="H34" i="11"/>
  <c r="J34" i="11" s="1"/>
  <c r="H33" i="11"/>
  <c r="J33" i="11" s="1"/>
  <c r="H31" i="11"/>
  <c r="J31" i="11" s="1"/>
  <c r="H30" i="11"/>
  <c r="J30" i="11" s="1"/>
  <c r="H29" i="11"/>
  <c r="J29" i="11" s="1"/>
  <c r="H28" i="11"/>
  <c r="J28" i="11" s="1"/>
  <c r="K28" i="11" s="1"/>
  <c r="H27" i="11"/>
  <c r="J27" i="11" s="1"/>
  <c r="H26" i="11"/>
  <c r="J26" i="11" s="1"/>
  <c r="H25" i="11"/>
  <c r="J25" i="11" s="1"/>
  <c r="H24" i="11"/>
  <c r="J24" i="11" s="1"/>
  <c r="H23" i="11"/>
  <c r="J23" i="11" s="1"/>
  <c r="H22" i="11"/>
  <c r="J22" i="11" s="1"/>
  <c r="H21" i="11"/>
  <c r="J21" i="11" s="1"/>
  <c r="H20" i="11"/>
  <c r="J20" i="11" s="1"/>
  <c r="K20" i="11" s="1"/>
  <c r="H18" i="11"/>
  <c r="J18" i="11" s="1"/>
  <c r="K18" i="11" s="1"/>
  <c r="H17" i="11"/>
  <c r="J17" i="11" s="1"/>
  <c r="H16" i="11"/>
  <c r="J16" i="11" s="1"/>
  <c r="H15" i="11"/>
  <c r="J15" i="11" s="1"/>
  <c r="H14" i="11"/>
  <c r="J14" i="11" s="1"/>
  <c r="K14" i="11" s="1"/>
  <c r="L14" i="11" s="1"/>
  <c r="H13" i="11"/>
  <c r="J13" i="11" s="1"/>
  <c r="H12" i="11"/>
  <c r="J12" i="11" s="1"/>
  <c r="H10" i="11"/>
  <c r="J10" i="11" s="1"/>
  <c r="H9" i="11"/>
  <c r="J9" i="11" s="1"/>
  <c r="K9" i="11" s="1"/>
  <c r="L9" i="11" s="1"/>
  <c r="H8" i="11"/>
  <c r="J8" i="11" s="1"/>
  <c r="H7" i="11"/>
  <c r="J7" i="11" s="1"/>
  <c r="A4" i="11"/>
  <c r="G13" i="12" l="1"/>
  <c r="G11" i="16"/>
  <c r="G12" i="12"/>
  <c r="G8" i="14"/>
  <c r="H8" i="14" s="1"/>
  <c r="G9" i="17"/>
  <c r="H8" i="17"/>
  <c r="I8" i="17"/>
  <c r="H9" i="17"/>
  <c r="I9" i="17"/>
  <c r="J9" i="17"/>
  <c r="G8" i="16"/>
  <c r="G9" i="16"/>
  <c r="H9" i="16" s="1"/>
  <c r="G13" i="16"/>
  <c r="I13" i="16" s="1"/>
  <c r="G12" i="16"/>
  <c r="H12" i="16" s="1"/>
  <c r="G14" i="16"/>
  <c r="H14" i="16" s="1"/>
  <c r="G16" i="16"/>
  <c r="H16" i="16" s="1"/>
  <c r="G18" i="16"/>
  <c r="H18" i="16" s="1"/>
  <c r="G20" i="16"/>
  <c r="I20" i="16" s="1"/>
  <c r="G17" i="16"/>
  <c r="I17" i="16" s="1"/>
  <c r="G21" i="16"/>
  <c r="H21" i="16" s="1"/>
  <c r="G15" i="16"/>
  <c r="H15" i="16" s="1"/>
  <c r="G22" i="16"/>
  <c r="H22" i="16" s="1"/>
  <c r="G10" i="16"/>
  <c r="H10" i="16" s="1"/>
  <c r="G19" i="16"/>
  <c r="I19" i="16" s="1"/>
  <c r="H11" i="16"/>
  <c r="I11" i="16"/>
  <c r="J11" i="16" s="1"/>
  <c r="I21" i="16"/>
  <c r="I9" i="16"/>
  <c r="I15" i="16"/>
  <c r="H8" i="16"/>
  <c r="I8" i="16"/>
  <c r="H19" i="16"/>
  <c r="I16" i="16"/>
  <c r="G9" i="15"/>
  <c r="H9" i="15" s="1"/>
  <c r="G11" i="15"/>
  <c r="H11" i="15" s="1"/>
  <c r="G13" i="15"/>
  <c r="G15" i="15"/>
  <c r="H15" i="15" s="1"/>
  <c r="G17" i="15"/>
  <c r="H17" i="15" s="1"/>
  <c r="G19" i="15"/>
  <c r="I19" i="15" s="1"/>
  <c r="G21" i="15"/>
  <c r="G8" i="15"/>
  <c r="I8" i="15" s="1"/>
  <c r="G10" i="15"/>
  <c r="I10" i="15" s="1"/>
  <c r="G12" i="15"/>
  <c r="H12" i="15" s="1"/>
  <c r="G14" i="15"/>
  <c r="I14" i="15" s="1"/>
  <c r="G16" i="15"/>
  <c r="H16" i="15" s="1"/>
  <c r="G18" i="15"/>
  <c r="I18" i="15" s="1"/>
  <c r="G20" i="15"/>
  <c r="H20" i="15" s="1"/>
  <c r="G22" i="15"/>
  <c r="I22" i="15" s="1"/>
  <c r="I9" i="15"/>
  <c r="H13" i="15"/>
  <c r="I13" i="15"/>
  <c r="H21" i="15"/>
  <c r="I21" i="15"/>
  <c r="H14" i="15"/>
  <c r="H18" i="15"/>
  <c r="I11" i="15"/>
  <c r="H19" i="15"/>
  <c r="G9" i="14"/>
  <c r="I9" i="14" s="1"/>
  <c r="G13" i="14"/>
  <c r="I13" i="14" s="1"/>
  <c r="G17" i="14"/>
  <c r="I17" i="14" s="1"/>
  <c r="G12" i="14"/>
  <c r="H12" i="14" s="1"/>
  <c r="G14" i="14"/>
  <c r="H14" i="14" s="1"/>
  <c r="G16" i="14"/>
  <c r="H16" i="14" s="1"/>
  <c r="G18" i="14"/>
  <c r="H18" i="14" s="1"/>
  <c r="G20" i="14"/>
  <c r="H20" i="14" s="1"/>
  <c r="G21" i="14"/>
  <c r="I21" i="14" s="1"/>
  <c r="G15" i="14"/>
  <c r="H15" i="14" s="1"/>
  <c r="G22" i="14"/>
  <c r="H22" i="14" s="1"/>
  <c r="G10" i="14"/>
  <c r="I10" i="14" s="1"/>
  <c r="G19" i="14"/>
  <c r="H19" i="14" s="1"/>
  <c r="H11" i="14"/>
  <c r="I11" i="14"/>
  <c r="H9" i="14"/>
  <c r="I15" i="14"/>
  <c r="I19" i="14"/>
  <c r="I8" i="14"/>
  <c r="I16" i="14"/>
  <c r="G7" i="13"/>
  <c r="H7" i="13" s="1"/>
  <c r="G9" i="13"/>
  <c r="H9" i="13" s="1"/>
  <c r="G11" i="13"/>
  <c r="H11" i="13" s="1"/>
  <c r="G13" i="13"/>
  <c r="H13" i="13" s="1"/>
  <c r="G15" i="13"/>
  <c r="H15" i="13" s="1"/>
  <c r="G17" i="13"/>
  <c r="I17" i="13" s="1"/>
  <c r="G19" i="13"/>
  <c r="H19" i="13" s="1"/>
  <c r="G21" i="13"/>
  <c r="I21" i="13" s="1"/>
  <c r="H10" i="13"/>
  <c r="I10" i="13"/>
  <c r="H14" i="13"/>
  <c r="I14" i="13"/>
  <c r="H18" i="13"/>
  <c r="I18" i="13"/>
  <c r="H8" i="13"/>
  <c r="I8" i="13"/>
  <c r="H12" i="13"/>
  <c r="I12" i="13"/>
  <c r="H16" i="13"/>
  <c r="I16" i="13"/>
  <c r="H20" i="13"/>
  <c r="I20" i="13"/>
  <c r="I9" i="13"/>
  <c r="H17" i="13"/>
  <c r="G15" i="12"/>
  <c r="H15" i="12" s="1"/>
  <c r="G8" i="12"/>
  <c r="I8" i="12" s="1"/>
  <c r="G9" i="12"/>
  <c r="I9" i="12" s="1"/>
  <c r="G11" i="12"/>
  <c r="I11" i="12" s="1"/>
  <c r="G10" i="12"/>
  <c r="I10" i="12" s="1"/>
  <c r="G14" i="12"/>
  <c r="H14" i="12" s="1"/>
  <c r="H11" i="12"/>
  <c r="I13" i="12"/>
  <c r="H13" i="12"/>
  <c r="H12" i="12"/>
  <c r="I12" i="12"/>
  <c r="K30" i="11"/>
  <c r="L30" i="11"/>
  <c r="K45" i="11"/>
  <c r="L45" i="11"/>
  <c r="K51" i="11"/>
  <c r="L51" i="11"/>
  <c r="K58" i="11"/>
  <c r="L58" i="11"/>
  <c r="K24" i="11"/>
  <c r="L24" i="11"/>
  <c r="K35" i="11"/>
  <c r="L35" i="11"/>
  <c r="K49" i="11"/>
  <c r="L49" i="11"/>
  <c r="K22" i="11"/>
  <c r="L22" i="11"/>
  <c r="K42" i="11"/>
  <c r="L42" i="11"/>
  <c r="K53" i="11"/>
  <c r="L53" i="11"/>
  <c r="K26" i="11"/>
  <c r="L26" i="11"/>
  <c r="K33" i="11"/>
  <c r="L33" i="11"/>
  <c r="K39" i="11"/>
  <c r="L39" i="11"/>
  <c r="L28" i="11"/>
  <c r="L37" i="11"/>
  <c r="L20" i="11"/>
  <c r="L47" i="11"/>
  <c r="L55" i="11"/>
  <c r="K8" i="11"/>
  <c r="L8" i="11" s="1"/>
  <c r="K17" i="11"/>
  <c r="L17" i="11" s="1"/>
  <c r="K10" i="11"/>
  <c r="L10" i="11" s="1"/>
  <c r="K15" i="11"/>
  <c r="L15" i="11" s="1"/>
  <c r="K13" i="11"/>
  <c r="L13" i="11" s="1"/>
  <c r="K21" i="11"/>
  <c r="L21" i="11" s="1"/>
  <c r="K25" i="11"/>
  <c r="L25" i="11" s="1"/>
  <c r="K34" i="11"/>
  <c r="L34" i="11" s="1"/>
  <c r="K7" i="11"/>
  <c r="L7" i="11" s="1"/>
  <c r="K12" i="11"/>
  <c r="L12" i="11" s="1"/>
  <c r="K16" i="11"/>
  <c r="L16" i="11" s="1"/>
  <c r="K38" i="11"/>
  <c r="L38" i="11" s="1"/>
  <c r="K48" i="11"/>
  <c r="L48" i="11" s="1"/>
  <c r="K52" i="11"/>
  <c r="L52" i="11" s="1"/>
  <c r="K57" i="11"/>
  <c r="L57" i="11" s="1"/>
  <c r="K23" i="11"/>
  <c r="L23" i="11" s="1"/>
  <c r="K27" i="11"/>
  <c r="L27" i="11" s="1"/>
  <c r="K31" i="11"/>
  <c r="L31" i="11" s="1"/>
  <c r="K36" i="11"/>
  <c r="L36" i="11" s="1"/>
  <c r="K40" i="11"/>
  <c r="L40" i="11" s="1"/>
  <c r="K46" i="11"/>
  <c r="L46" i="11" s="1"/>
  <c r="K50" i="11"/>
  <c r="L50" i="11" s="1"/>
  <c r="K54" i="11"/>
  <c r="L54" i="11" s="1"/>
  <c r="K59" i="11"/>
  <c r="L59" i="11" s="1"/>
  <c r="K29" i="11"/>
  <c r="L29" i="11" s="1"/>
  <c r="K43" i="11"/>
  <c r="L43" i="11" s="1"/>
  <c r="L18" i="11"/>
  <c r="J10" i="13" l="1"/>
  <c r="J8" i="17"/>
  <c r="I15" i="12"/>
  <c r="J15" i="12" s="1"/>
  <c r="J21" i="15"/>
  <c r="H9" i="12"/>
  <c r="H21" i="14"/>
  <c r="I14" i="14"/>
  <c r="J14" i="14" s="1"/>
  <c r="H10" i="15"/>
  <c r="I17" i="15"/>
  <c r="H8" i="12"/>
  <c r="I14" i="12"/>
  <c r="J11" i="12"/>
  <c r="J12" i="13"/>
  <c r="I7" i="13"/>
  <c r="J15" i="14"/>
  <c r="H8" i="15"/>
  <c r="J14" i="12"/>
  <c r="I15" i="13"/>
  <c r="J9" i="14"/>
  <c r="J17" i="15"/>
  <c r="J9" i="15"/>
  <c r="J21" i="16"/>
  <c r="J15" i="16"/>
  <c r="H13" i="14"/>
  <c r="J13" i="14" s="1"/>
  <c r="K13" i="14" s="1"/>
  <c r="L13" i="14" s="1"/>
  <c r="I12" i="15"/>
  <c r="J12" i="15" s="1"/>
  <c r="K12" i="15" s="1"/>
  <c r="L12" i="15" s="1"/>
  <c r="I12" i="16"/>
  <c r="H13" i="16"/>
  <c r="I18" i="16"/>
  <c r="J13" i="12"/>
  <c r="K13" i="12" s="1"/>
  <c r="L13" i="12" s="1"/>
  <c r="M13" i="12" s="1"/>
  <c r="N13" i="12" s="1"/>
  <c r="J21" i="14"/>
  <c r="K8" i="17"/>
  <c r="L8" i="17" s="1"/>
  <c r="M8" i="17" s="1"/>
  <c r="N8" i="17" s="1"/>
  <c r="K9" i="17"/>
  <c r="L9" i="17" s="1"/>
  <c r="M9" i="17" s="1"/>
  <c r="N9" i="17" s="1"/>
  <c r="H20" i="16"/>
  <c r="J13" i="16"/>
  <c r="I22" i="16"/>
  <c r="J18" i="16"/>
  <c r="K18" i="16" s="1"/>
  <c r="L18" i="16" s="1"/>
  <c r="J22" i="16"/>
  <c r="K22" i="16" s="1"/>
  <c r="L22" i="16" s="1"/>
  <c r="I14" i="16"/>
  <c r="J14" i="16" s="1"/>
  <c r="K14" i="16" s="1"/>
  <c r="L14" i="16" s="1"/>
  <c r="H17" i="16"/>
  <c r="J17" i="16" s="1"/>
  <c r="K17" i="16" s="1"/>
  <c r="L17" i="16" s="1"/>
  <c r="J19" i="16"/>
  <c r="K19" i="16" s="1"/>
  <c r="L19" i="16" s="1"/>
  <c r="J20" i="16"/>
  <c r="K20" i="16" s="1"/>
  <c r="L20" i="16" s="1"/>
  <c r="J12" i="16"/>
  <c r="K12" i="16" s="1"/>
  <c r="L12" i="16" s="1"/>
  <c r="J8" i="16"/>
  <c r="K8" i="16" s="1"/>
  <c r="L8" i="16" s="1"/>
  <c r="J16" i="16"/>
  <c r="K16" i="16" s="1"/>
  <c r="L16" i="16" s="1"/>
  <c r="I10" i="16"/>
  <c r="J10" i="16" s="1"/>
  <c r="K10" i="16" s="1"/>
  <c r="L10" i="16" s="1"/>
  <c r="J9" i="16"/>
  <c r="K9" i="16" s="1"/>
  <c r="L9" i="16" s="1"/>
  <c r="K13" i="16"/>
  <c r="L13" i="16" s="1"/>
  <c r="K15" i="16"/>
  <c r="L15" i="16" s="1"/>
  <c r="K21" i="16"/>
  <c r="L21" i="16" s="1"/>
  <c r="K11" i="16"/>
  <c r="L11" i="16" s="1"/>
  <c r="J10" i="15"/>
  <c r="I16" i="15"/>
  <c r="J16" i="15" s="1"/>
  <c r="K16" i="15" s="1"/>
  <c r="L16" i="15" s="1"/>
  <c r="I15" i="15"/>
  <c r="J15" i="15" s="1"/>
  <c r="K15" i="15" s="1"/>
  <c r="L15" i="15" s="1"/>
  <c r="J11" i="15"/>
  <c r="K11" i="15" s="1"/>
  <c r="L11" i="15" s="1"/>
  <c r="H22" i="15"/>
  <c r="J22" i="15" s="1"/>
  <c r="I20" i="15"/>
  <c r="J20" i="15" s="1"/>
  <c r="K20" i="15" s="1"/>
  <c r="L20" i="15" s="1"/>
  <c r="J14" i="15"/>
  <c r="K14" i="15" s="1"/>
  <c r="L14" i="15" s="1"/>
  <c r="J8" i="15"/>
  <c r="K8" i="15" s="1"/>
  <c r="L8" i="15" s="1"/>
  <c r="J19" i="15"/>
  <c r="K19" i="15" s="1"/>
  <c r="L19" i="15" s="1"/>
  <c r="J18" i="15"/>
  <c r="K18" i="15" s="1"/>
  <c r="L18" i="15" s="1"/>
  <c r="J13" i="15"/>
  <c r="K13" i="15" s="1"/>
  <c r="L13" i="15" s="1"/>
  <c r="K10" i="15"/>
  <c r="L10" i="15" s="1"/>
  <c r="K17" i="15"/>
  <c r="L17" i="15" s="1"/>
  <c r="K9" i="15"/>
  <c r="L9" i="15" s="1"/>
  <c r="K22" i="15"/>
  <c r="L22" i="15" s="1"/>
  <c r="K21" i="15"/>
  <c r="L21" i="15" s="1"/>
  <c r="J8" i="14"/>
  <c r="I20" i="14"/>
  <c r="J20" i="14" s="1"/>
  <c r="K20" i="14" s="1"/>
  <c r="L20" i="14" s="1"/>
  <c r="H10" i="14"/>
  <c r="I22" i="14"/>
  <c r="J22" i="14" s="1"/>
  <c r="K22" i="14" s="1"/>
  <c r="L22" i="14" s="1"/>
  <c r="I18" i="14"/>
  <c r="J18" i="14" s="1"/>
  <c r="K18" i="14" s="1"/>
  <c r="L18" i="14" s="1"/>
  <c r="H17" i="14"/>
  <c r="J17" i="14" s="1"/>
  <c r="K17" i="14" s="1"/>
  <c r="L17" i="14" s="1"/>
  <c r="I12" i="14"/>
  <c r="J12" i="14" s="1"/>
  <c r="K12" i="14" s="1"/>
  <c r="L12" i="14" s="1"/>
  <c r="J16" i="14"/>
  <c r="J11" i="14"/>
  <c r="J10" i="14"/>
  <c r="K10" i="14" s="1"/>
  <c r="L10" i="14" s="1"/>
  <c r="J19" i="14"/>
  <c r="K19" i="14" s="1"/>
  <c r="L19" i="14" s="1"/>
  <c r="K16" i="14"/>
  <c r="L16" i="14" s="1"/>
  <c r="K11" i="14"/>
  <c r="L11" i="14" s="1"/>
  <c r="K15" i="14"/>
  <c r="L15" i="14" s="1"/>
  <c r="K21" i="14"/>
  <c r="L21" i="14" s="1"/>
  <c r="K8" i="14"/>
  <c r="L8" i="14" s="1"/>
  <c r="K9" i="14"/>
  <c r="L9" i="14" s="1"/>
  <c r="K14" i="14"/>
  <c r="L14" i="14" s="1"/>
  <c r="J14" i="13"/>
  <c r="J8" i="13"/>
  <c r="K8" i="13" s="1"/>
  <c r="L8" i="13" s="1"/>
  <c r="M8" i="13" s="1"/>
  <c r="N8" i="13" s="1"/>
  <c r="J16" i="13"/>
  <c r="K16" i="13" s="1"/>
  <c r="L16" i="13" s="1"/>
  <c r="M16" i="13" s="1"/>
  <c r="N16" i="13" s="1"/>
  <c r="J9" i="13"/>
  <c r="K9" i="13" s="1"/>
  <c r="L9" i="13" s="1"/>
  <c r="M9" i="13" s="1"/>
  <c r="N9" i="13" s="1"/>
  <c r="H21" i="13"/>
  <c r="J21" i="13" s="1"/>
  <c r="K21" i="13" s="1"/>
  <c r="L21" i="13" s="1"/>
  <c r="M21" i="13" s="1"/>
  <c r="N21" i="13" s="1"/>
  <c r="I11" i="13"/>
  <c r="J11" i="13" s="1"/>
  <c r="K11" i="13" s="1"/>
  <c r="L11" i="13" s="1"/>
  <c r="M11" i="13" s="1"/>
  <c r="N11" i="13" s="1"/>
  <c r="I13" i="13"/>
  <c r="J13" i="13" s="1"/>
  <c r="K13" i="13" s="1"/>
  <c r="L13" i="13" s="1"/>
  <c r="M13" i="13" s="1"/>
  <c r="N13" i="13" s="1"/>
  <c r="J17" i="13"/>
  <c r="K17" i="13" s="1"/>
  <c r="L17" i="13" s="1"/>
  <c r="M17" i="13" s="1"/>
  <c r="N17" i="13" s="1"/>
  <c r="I19" i="13"/>
  <c r="J19" i="13" s="1"/>
  <c r="K19" i="13" s="1"/>
  <c r="L19" i="13" s="1"/>
  <c r="M19" i="13" s="1"/>
  <c r="N19" i="13" s="1"/>
  <c r="J15" i="13"/>
  <c r="K15" i="13" s="1"/>
  <c r="L15" i="13" s="1"/>
  <c r="M15" i="13" s="1"/>
  <c r="N15" i="13" s="1"/>
  <c r="J18" i="13"/>
  <c r="K18" i="13" s="1"/>
  <c r="L18" i="13" s="1"/>
  <c r="M18" i="13" s="1"/>
  <c r="N18" i="13" s="1"/>
  <c r="J20" i="13"/>
  <c r="K20" i="13" s="1"/>
  <c r="L20" i="13" s="1"/>
  <c r="M20" i="13" s="1"/>
  <c r="N20" i="13" s="1"/>
  <c r="J7" i="13"/>
  <c r="K14" i="13"/>
  <c r="L14" i="13" s="1"/>
  <c r="M14" i="13" s="1"/>
  <c r="N14" i="13" s="1"/>
  <c r="K12" i="13"/>
  <c r="L12" i="13" s="1"/>
  <c r="M12" i="13" s="1"/>
  <c r="N12" i="13" s="1"/>
  <c r="K7" i="13"/>
  <c r="L7" i="13" s="1"/>
  <c r="M7" i="13" s="1"/>
  <c r="N7" i="13" s="1"/>
  <c r="K10" i="13"/>
  <c r="L10" i="13" s="1"/>
  <c r="M10" i="13" s="1"/>
  <c r="N10" i="13" s="1"/>
  <c r="H10" i="12"/>
  <c r="J10" i="12" s="1"/>
  <c r="K10" i="12" s="1"/>
  <c r="L10" i="12" s="1"/>
  <c r="M10" i="12" s="1"/>
  <c r="N10" i="12" s="1"/>
  <c r="J12" i="12"/>
  <c r="J9" i="12"/>
  <c r="K9" i="12" s="1"/>
  <c r="L9" i="12" s="1"/>
  <c r="M9" i="12" s="1"/>
  <c r="N9" i="12" s="1"/>
  <c r="J8" i="12"/>
  <c r="K8" i="12" s="1"/>
  <c r="L8" i="12" s="1"/>
  <c r="M8" i="12" s="1"/>
  <c r="N8" i="12" s="1"/>
  <c r="K14" i="12"/>
  <c r="L14" i="12" s="1"/>
  <c r="M14" i="12" s="1"/>
  <c r="N14" i="12" s="1"/>
  <c r="K12" i="12"/>
  <c r="L12" i="12" s="1"/>
  <c r="M12" i="12" s="1"/>
  <c r="N12" i="12" s="1"/>
  <c r="K11" i="12"/>
  <c r="L11" i="12" s="1"/>
  <c r="M11" i="12" s="1"/>
  <c r="N11" i="12" s="1"/>
  <c r="K15" i="12"/>
  <c r="L15" i="12" s="1"/>
  <c r="M15" i="12" s="1"/>
  <c r="N15" i="12" s="1"/>
  <c r="M18" i="16" l="1"/>
  <c r="N18" i="16" s="1"/>
  <c r="M13" i="16"/>
  <c r="N13" i="16" s="1"/>
  <c r="M14" i="16"/>
  <c r="N14" i="16" s="1"/>
  <c r="M10" i="16"/>
  <c r="N10" i="16" s="1"/>
  <c r="M22" i="16"/>
  <c r="N22" i="16" s="1"/>
  <c r="M16" i="16"/>
  <c r="N16" i="16" s="1"/>
  <c r="M20" i="16"/>
  <c r="N20" i="16" s="1"/>
  <c r="M11" i="16"/>
  <c r="N11" i="16" s="1"/>
  <c r="M21" i="16"/>
  <c r="N21" i="16" s="1"/>
  <c r="M8" i="16"/>
  <c r="N8" i="16" s="1"/>
  <c r="M17" i="16"/>
  <c r="N17" i="16" s="1"/>
  <c r="M15" i="16"/>
  <c r="N15" i="16" s="1"/>
  <c r="M12" i="16"/>
  <c r="N12" i="16" s="1"/>
  <c r="M9" i="16"/>
  <c r="N9" i="16"/>
  <c r="M19" i="16"/>
  <c r="N19" i="16" s="1"/>
  <c r="M8" i="15"/>
  <c r="N8" i="15" s="1"/>
  <c r="M21" i="15"/>
  <c r="N21" i="15" s="1"/>
  <c r="M12" i="15"/>
  <c r="N12" i="15" s="1"/>
  <c r="M14" i="15"/>
  <c r="N14" i="15" s="1"/>
  <c r="M17" i="15"/>
  <c r="N17" i="15" s="1"/>
  <c r="M11" i="15"/>
  <c r="N11" i="15" s="1"/>
  <c r="M13" i="15"/>
  <c r="N13" i="15" s="1"/>
  <c r="M15" i="15"/>
  <c r="N15" i="15" s="1"/>
  <c r="M16" i="15"/>
  <c r="N16" i="15" s="1"/>
  <c r="M9" i="15"/>
  <c r="N9" i="15" s="1"/>
  <c r="M18" i="15"/>
  <c r="N18" i="15" s="1"/>
  <c r="M22" i="15"/>
  <c r="N22" i="15" s="1"/>
  <c r="M20" i="15"/>
  <c r="N20" i="15" s="1"/>
  <c r="M10" i="15"/>
  <c r="N10" i="15" s="1"/>
  <c r="M19" i="15"/>
  <c r="N19" i="15" s="1"/>
  <c r="M8" i="14"/>
  <c r="N8" i="14" s="1"/>
  <c r="M12" i="14"/>
  <c r="N12" i="14" s="1"/>
  <c r="M21" i="14"/>
  <c r="N21" i="14"/>
  <c r="M13" i="14"/>
  <c r="N13" i="14" s="1"/>
  <c r="M16" i="14"/>
  <c r="N16" i="14" s="1"/>
  <c r="M14" i="14"/>
  <c r="N14" i="14" s="1"/>
  <c r="M18" i="14"/>
  <c r="N18" i="14" s="1"/>
  <c r="M10" i="14"/>
  <c r="N10" i="14" s="1"/>
  <c r="M17" i="14"/>
  <c r="N17" i="14" s="1"/>
  <c r="M9" i="14"/>
  <c r="N9" i="14" s="1"/>
  <c r="M11" i="14"/>
  <c r="N11" i="14" s="1"/>
  <c r="M19" i="14"/>
  <c r="N19" i="14" s="1"/>
  <c r="M15" i="14"/>
  <c r="N15" i="14" s="1"/>
  <c r="M20" i="14"/>
  <c r="N20" i="14" s="1"/>
  <c r="M22" i="14"/>
  <c r="N22" i="14" s="1"/>
  <c r="D67" i="4" l="1"/>
  <c r="D66" i="4"/>
  <c r="D65" i="4"/>
  <c r="D64" i="4"/>
  <c r="D62" i="4"/>
  <c r="D61" i="4"/>
  <c r="D60" i="4"/>
  <c r="D59" i="4"/>
  <c r="D57" i="4"/>
  <c r="D56" i="4"/>
  <c r="D55" i="4"/>
  <c r="D54" i="4"/>
  <c r="D52" i="4"/>
  <c r="D51" i="4"/>
  <c r="D50" i="4"/>
  <c r="D49" i="4"/>
  <c r="D45" i="4"/>
  <c r="D46" i="4"/>
  <c r="D47" i="4"/>
  <c r="D44" i="4"/>
  <c r="J71" i="10" l="1"/>
  <c r="J66" i="10"/>
  <c r="I66" i="10"/>
  <c r="J65" i="10"/>
  <c r="I65" i="10"/>
  <c r="J64" i="10"/>
  <c r="I64" i="10"/>
  <c r="I63" i="10"/>
  <c r="J61" i="10"/>
  <c r="I61" i="10"/>
  <c r="J60" i="10"/>
  <c r="I60" i="10"/>
  <c r="J59" i="10"/>
  <c r="I59" i="10"/>
  <c r="J58" i="10"/>
  <c r="I58" i="10"/>
  <c r="J57" i="10"/>
  <c r="I57" i="10"/>
  <c r="I56" i="10"/>
  <c r="J55" i="10"/>
  <c r="I55" i="10"/>
  <c r="J54" i="10"/>
  <c r="I54" i="10"/>
  <c r="I53" i="10"/>
  <c r="J52" i="10"/>
  <c r="I52" i="10"/>
  <c r="J51" i="10"/>
  <c r="I51" i="10"/>
  <c r="J49" i="10"/>
  <c r="I49" i="10"/>
  <c r="J48" i="10"/>
  <c r="I48" i="10"/>
  <c r="J46" i="10"/>
  <c r="I46" i="10"/>
  <c r="J45" i="10"/>
  <c r="I45" i="10"/>
  <c r="J44" i="10"/>
  <c r="I44" i="10"/>
  <c r="J43" i="10"/>
  <c r="I43" i="10"/>
  <c r="J42" i="10"/>
  <c r="I42" i="10"/>
  <c r="J41" i="10"/>
  <c r="I41" i="10"/>
  <c r="J40" i="10"/>
  <c r="I40" i="10"/>
  <c r="J39" i="10"/>
  <c r="I39" i="10"/>
  <c r="J37" i="10"/>
  <c r="I37" i="10"/>
  <c r="J36" i="10"/>
  <c r="I36" i="10"/>
  <c r="I35" i="10"/>
  <c r="J34" i="10"/>
  <c r="I34" i="10"/>
  <c r="J33" i="10"/>
  <c r="I33" i="10"/>
  <c r="J32" i="10"/>
  <c r="I32" i="10"/>
  <c r="J31" i="10"/>
  <c r="I31" i="10"/>
  <c r="J30" i="10"/>
  <c r="I30" i="10"/>
  <c r="J29" i="10"/>
  <c r="I29" i="10"/>
  <c r="J28" i="10"/>
  <c r="I28" i="10"/>
  <c r="J27" i="10"/>
  <c r="I27" i="10"/>
  <c r="J26" i="10"/>
  <c r="I26" i="10"/>
  <c r="J24" i="10"/>
  <c r="I24" i="10"/>
  <c r="I23" i="10"/>
  <c r="J22" i="10"/>
  <c r="I22" i="10"/>
  <c r="J21" i="10"/>
  <c r="I21" i="10"/>
  <c r="J20" i="10"/>
  <c r="I20" i="10"/>
  <c r="J19" i="10"/>
  <c r="I19" i="10"/>
  <c r="J18" i="10"/>
  <c r="I18" i="10"/>
  <c r="J16" i="10"/>
  <c r="I16" i="10"/>
  <c r="J15" i="10"/>
  <c r="I15" i="10"/>
  <c r="J14" i="10"/>
  <c r="I14" i="10"/>
  <c r="J13" i="10"/>
  <c r="I13" i="10"/>
  <c r="A10" i="10"/>
  <c r="A5" i="10"/>
  <c r="A4" i="10"/>
  <c r="A3" i="10"/>
  <c r="J1" i="10"/>
  <c r="J32" i="8" l="1"/>
  <c r="J71" i="8"/>
  <c r="J66" i="8"/>
  <c r="I66" i="8"/>
  <c r="K66" i="8" s="1"/>
  <c r="M66" i="8" s="1"/>
  <c r="J65" i="8"/>
  <c r="I65" i="8"/>
  <c r="J64" i="8"/>
  <c r="I64" i="8"/>
  <c r="K64" i="8" s="1"/>
  <c r="M64" i="8" s="1"/>
  <c r="I63" i="8"/>
  <c r="K63" i="8" s="1"/>
  <c r="M63" i="8" s="1"/>
  <c r="J61" i="8"/>
  <c r="I61" i="8"/>
  <c r="J60" i="8"/>
  <c r="I60" i="8"/>
  <c r="K60" i="8" s="1"/>
  <c r="M60" i="8" s="1"/>
  <c r="J59" i="8"/>
  <c r="I59" i="8"/>
  <c r="J58" i="8"/>
  <c r="I58" i="8"/>
  <c r="K58" i="8" s="1"/>
  <c r="M58" i="8" s="1"/>
  <c r="J57" i="8"/>
  <c r="I57" i="8"/>
  <c r="I56" i="8"/>
  <c r="K56" i="8" s="1"/>
  <c r="M56" i="8" s="1"/>
  <c r="J55" i="8"/>
  <c r="I55" i="8"/>
  <c r="K55" i="8" s="1"/>
  <c r="M55" i="8" s="1"/>
  <c r="J54" i="8"/>
  <c r="I54" i="8"/>
  <c r="I53" i="8"/>
  <c r="K53" i="8" s="1"/>
  <c r="M53" i="8" s="1"/>
  <c r="J52" i="8"/>
  <c r="I52" i="8"/>
  <c r="J51" i="8"/>
  <c r="I51" i="8"/>
  <c r="K51" i="8" s="1"/>
  <c r="M51" i="8" s="1"/>
  <c r="J49" i="8"/>
  <c r="I49" i="8"/>
  <c r="K49" i="8" s="1"/>
  <c r="M49" i="8" s="1"/>
  <c r="J48" i="8"/>
  <c r="I48" i="8"/>
  <c r="J46" i="8"/>
  <c r="I46" i="8"/>
  <c r="K46" i="8" s="1"/>
  <c r="M46" i="8" s="1"/>
  <c r="J45" i="8"/>
  <c r="I45" i="8"/>
  <c r="J44" i="8"/>
  <c r="I44" i="8"/>
  <c r="K44" i="8" s="1"/>
  <c r="M44" i="8" s="1"/>
  <c r="J43" i="8"/>
  <c r="I43" i="8"/>
  <c r="K43" i="8" s="1"/>
  <c r="M43" i="8" s="1"/>
  <c r="J42" i="8"/>
  <c r="I42" i="8"/>
  <c r="J41" i="8"/>
  <c r="I41" i="8"/>
  <c r="K41" i="8" s="1"/>
  <c r="M41" i="8" s="1"/>
  <c r="J40" i="8"/>
  <c r="I40" i="8"/>
  <c r="K40" i="8" s="1"/>
  <c r="M40" i="8" s="1"/>
  <c r="J39" i="8"/>
  <c r="I39" i="8"/>
  <c r="J37" i="8"/>
  <c r="I37" i="8"/>
  <c r="K37" i="8" s="1"/>
  <c r="M37" i="8" s="1"/>
  <c r="J36" i="8"/>
  <c r="I36" i="8"/>
  <c r="I35" i="8"/>
  <c r="K35" i="8" s="1"/>
  <c r="M35" i="8" s="1"/>
  <c r="J34" i="8"/>
  <c r="I34" i="8"/>
  <c r="J33" i="8"/>
  <c r="I33" i="8"/>
  <c r="I32" i="8"/>
  <c r="J31" i="8"/>
  <c r="I31" i="8"/>
  <c r="J30" i="8"/>
  <c r="I30" i="8"/>
  <c r="K30" i="8" s="1"/>
  <c r="M30" i="8" s="1"/>
  <c r="J29" i="8"/>
  <c r="I29" i="8"/>
  <c r="J28" i="8"/>
  <c r="I28" i="8"/>
  <c r="J27" i="8"/>
  <c r="I27" i="8"/>
  <c r="J26" i="8"/>
  <c r="I26" i="8"/>
  <c r="K26" i="8" s="1"/>
  <c r="J24" i="8"/>
  <c r="I24" i="8"/>
  <c r="I23" i="8"/>
  <c r="K23" i="8" s="1"/>
  <c r="J22" i="8"/>
  <c r="I22" i="8"/>
  <c r="J21" i="8"/>
  <c r="I21" i="8"/>
  <c r="J20" i="8"/>
  <c r="I20" i="8"/>
  <c r="J19" i="8"/>
  <c r="I19" i="8"/>
  <c r="J18" i="8"/>
  <c r="I18" i="8"/>
  <c r="J16" i="8"/>
  <c r="I16" i="8"/>
  <c r="K16" i="8" s="1"/>
  <c r="J15" i="8"/>
  <c r="I15" i="8"/>
  <c r="J14" i="8"/>
  <c r="I14" i="8"/>
  <c r="K14" i="8" s="1"/>
  <c r="L14" i="8" s="1"/>
  <c r="J13" i="8"/>
  <c r="I13" i="8"/>
  <c r="A10" i="8"/>
  <c r="A5" i="8"/>
  <c r="A4" i="8"/>
  <c r="A3" i="8"/>
  <c r="J1" i="8"/>
  <c r="L16" i="8" l="1"/>
  <c r="M16" i="8"/>
  <c r="K39" i="8"/>
  <c r="M39" i="8" s="1"/>
  <c r="K48" i="8"/>
  <c r="M48" i="8" s="1"/>
  <c r="K54" i="8"/>
  <c r="M54" i="8" s="1"/>
  <c r="K18" i="8"/>
  <c r="K20" i="8"/>
  <c r="K34" i="8"/>
  <c r="M34" i="8" s="1"/>
  <c r="K36" i="8"/>
  <c r="M36" i="8" s="1"/>
  <c r="K42" i="8"/>
  <c r="M42" i="8" s="1"/>
  <c r="K45" i="8"/>
  <c r="M45" i="8" s="1"/>
  <c r="K52" i="8"/>
  <c r="M52" i="8" s="1"/>
  <c r="K13" i="8"/>
  <c r="M18" i="8"/>
  <c r="K22" i="8"/>
  <c r="M22" i="8" s="1"/>
  <c r="K27" i="8"/>
  <c r="M27" i="8" s="1"/>
  <c r="K31" i="8"/>
  <c r="M31" i="8" s="1"/>
  <c r="K57" i="8"/>
  <c r="M57" i="8" s="1"/>
  <c r="K59" i="8"/>
  <c r="M59" i="8" s="1"/>
  <c r="K61" i="8"/>
  <c r="M61" i="8" s="1"/>
  <c r="K15" i="8"/>
  <c r="L15" i="8" s="1"/>
  <c r="K19" i="8"/>
  <c r="M19" i="8" s="1"/>
  <c r="K21" i="8"/>
  <c r="K65" i="8"/>
  <c r="M65" i="8" s="1"/>
  <c r="M23" i="8"/>
  <c r="M15" i="8"/>
  <c r="M20" i="8"/>
  <c r="M14" i="8"/>
  <c r="K24" i="8"/>
  <c r="K29" i="8"/>
  <c r="M29" i="8" s="1"/>
  <c r="K33" i="8"/>
  <c r="M33" i="8" s="1"/>
  <c r="K28" i="8"/>
  <c r="M28" i="8" s="1"/>
  <c r="K32" i="8"/>
  <c r="M21" i="8" l="1"/>
  <c r="L13" i="8"/>
  <c r="M13" i="8" s="1"/>
  <c r="M32" i="8"/>
  <c r="M26" i="8"/>
  <c r="M24" i="8" l="1"/>
  <c r="O61" i="7" l="1"/>
  <c r="N61" i="7"/>
  <c r="O60" i="7"/>
  <c r="O59" i="7"/>
  <c r="N59" i="7"/>
  <c r="O58" i="7"/>
  <c r="N58" i="7"/>
  <c r="O56" i="7"/>
  <c r="N56" i="7"/>
  <c r="O55" i="7"/>
  <c r="N55" i="7"/>
  <c r="O54" i="7"/>
  <c r="N54" i="7"/>
  <c r="O53" i="7"/>
  <c r="N53" i="7"/>
  <c r="O52" i="7"/>
  <c r="N52" i="7"/>
  <c r="O51" i="7"/>
  <c r="N51" i="7"/>
  <c r="O49" i="7"/>
  <c r="N49" i="7"/>
  <c r="O48" i="7"/>
  <c r="O46" i="7"/>
  <c r="N46" i="7"/>
  <c r="O45" i="7"/>
  <c r="N45" i="7"/>
  <c r="O44" i="7"/>
  <c r="N44" i="7"/>
  <c r="O43" i="7"/>
  <c r="N43" i="7"/>
  <c r="O42" i="7"/>
  <c r="N42" i="7"/>
  <c r="O41" i="7"/>
  <c r="N41" i="7"/>
  <c r="O40" i="7"/>
  <c r="N40" i="7"/>
  <c r="O39" i="7"/>
  <c r="N39" i="7"/>
  <c r="O37" i="7"/>
  <c r="N37" i="7"/>
  <c r="O36" i="7"/>
  <c r="N36" i="7"/>
  <c r="O35" i="7"/>
  <c r="N35" i="7"/>
  <c r="O34" i="7"/>
  <c r="N34" i="7"/>
  <c r="O33" i="7"/>
  <c r="N33" i="7"/>
  <c r="O32" i="7"/>
  <c r="N32" i="7"/>
  <c r="O31" i="7"/>
  <c r="N31" i="7"/>
  <c r="O30" i="7"/>
  <c r="N30" i="7"/>
  <c r="O29" i="7"/>
  <c r="N29" i="7"/>
  <c r="O28" i="7"/>
  <c r="N28" i="7"/>
  <c r="O27" i="7"/>
  <c r="Q14" i="7"/>
  <c r="Q15" i="7"/>
  <c r="Q16" i="7"/>
  <c r="Q18" i="7"/>
  <c r="Q19" i="7"/>
  <c r="Q20" i="7"/>
  <c r="Q21" i="7"/>
  <c r="Q22" i="7"/>
  <c r="Q23" i="7"/>
  <c r="Q24" i="7"/>
  <c r="Q26" i="7"/>
  <c r="Q27" i="7"/>
  <c r="Q28" i="7"/>
  <c r="Q29" i="7"/>
  <c r="Q30" i="7"/>
  <c r="Q31" i="7"/>
  <c r="Q32" i="7"/>
  <c r="Q33" i="7"/>
  <c r="Q34" i="7"/>
  <c r="Q35" i="7"/>
  <c r="Q36" i="7"/>
  <c r="Q37" i="7"/>
  <c r="Q39" i="7"/>
  <c r="Q40" i="7"/>
  <c r="Q41" i="7"/>
  <c r="Q42" i="7"/>
  <c r="Q43" i="7"/>
  <c r="Q44" i="7"/>
  <c r="Q45" i="7"/>
  <c r="Q46" i="7"/>
  <c r="Q48" i="7"/>
  <c r="Q49" i="7"/>
  <c r="Q51" i="7"/>
  <c r="Q52" i="7"/>
  <c r="Q53" i="7"/>
  <c r="Q54" i="7"/>
  <c r="Q55" i="7"/>
  <c r="Q56" i="7"/>
  <c r="Q57" i="7"/>
  <c r="Q58" i="7"/>
  <c r="Q59" i="7"/>
  <c r="Q60" i="7"/>
  <c r="S60" i="7" s="1"/>
  <c r="Q61" i="7"/>
  <c r="Q13" i="7"/>
  <c r="N14" i="7"/>
  <c r="N13" i="7"/>
  <c r="P14" i="7"/>
  <c r="P15" i="7"/>
  <c r="P16" i="7"/>
  <c r="P18" i="7"/>
  <c r="P19" i="7"/>
  <c r="P20" i="7"/>
  <c r="P21" i="7"/>
  <c r="P22" i="7"/>
  <c r="P23" i="7"/>
  <c r="P24" i="7"/>
  <c r="P26" i="7"/>
  <c r="P27" i="7"/>
  <c r="P28" i="7"/>
  <c r="P29" i="7"/>
  <c r="P30" i="7"/>
  <c r="P31" i="7"/>
  <c r="P32" i="7"/>
  <c r="P33" i="7"/>
  <c r="P34" i="7"/>
  <c r="P35" i="7"/>
  <c r="P36" i="7"/>
  <c r="P37" i="7"/>
  <c r="P39" i="7"/>
  <c r="P40" i="7"/>
  <c r="P41" i="7"/>
  <c r="P42" i="7"/>
  <c r="P43" i="7"/>
  <c r="P44" i="7"/>
  <c r="P45" i="7"/>
  <c r="R45" i="7" s="1"/>
  <c r="P46" i="7"/>
  <c r="P48" i="7"/>
  <c r="P49" i="7"/>
  <c r="P51" i="7"/>
  <c r="P52" i="7"/>
  <c r="P53" i="7"/>
  <c r="P54" i="7"/>
  <c r="R54" i="7" s="1"/>
  <c r="P55" i="7"/>
  <c r="P56" i="7"/>
  <c r="P57" i="7"/>
  <c r="P58" i="7"/>
  <c r="P59" i="7"/>
  <c r="P60" i="7"/>
  <c r="P61" i="7"/>
  <c r="P13" i="7"/>
  <c r="N27" i="7"/>
  <c r="O26" i="7"/>
  <c r="N26" i="7"/>
  <c r="R26" i="7" s="1"/>
  <c r="O24" i="7"/>
  <c r="N24" i="7"/>
  <c r="O23" i="7"/>
  <c r="N23" i="7"/>
  <c r="O22" i="7"/>
  <c r="N22" i="7"/>
  <c r="O21" i="7"/>
  <c r="N21" i="7"/>
  <c r="R21" i="7" s="1"/>
  <c r="O20" i="7"/>
  <c r="O19" i="7"/>
  <c r="N19" i="7"/>
  <c r="O18" i="7"/>
  <c r="N18" i="7"/>
  <c r="R18" i="7" s="1"/>
  <c r="O16" i="7"/>
  <c r="N16" i="7"/>
  <c r="O15" i="7"/>
  <c r="N15" i="7"/>
  <c r="R15" i="7" s="1"/>
  <c r="O14" i="7"/>
  <c r="O13" i="7"/>
  <c r="S13" i="7" s="1"/>
  <c r="R61" i="7" l="1"/>
  <c r="R43" i="7"/>
  <c r="R39" i="7"/>
  <c r="S55" i="7"/>
  <c r="S46" i="7"/>
  <c r="S16" i="7"/>
  <c r="R59" i="7"/>
  <c r="R23" i="7"/>
  <c r="R19" i="7"/>
  <c r="S21" i="7"/>
  <c r="S26" i="7"/>
  <c r="S20" i="7"/>
  <c r="S22" i="7"/>
  <c r="S24" i="7"/>
  <c r="R16" i="7"/>
  <c r="S23" i="7"/>
  <c r="R46" i="7"/>
  <c r="R42" i="7"/>
  <c r="R33" i="7"/>
  <c r="S49" i="7"/>
  <c r="S14" i="7"/>
  <c r="S19" i="7"/>
  <c r="R31" i="7"/>
  <c r="S15" i="7"/>
  <c r="R55" i="7"/>
  <c r="S18" i="7"/>
  <c r="R14" i="7"/>
  <c r="S27" i="7"/>
  <c r="R22" i="7"/>
  <c r="R24" i="7"/>
  <c r="R27" i="7"/>
  <c r="S61" i="7"/>
  <c r="S43" i="7"/>
  <c r="R13" i="7"/>
  <c r="S29" i="7"/>
  <c r="S31" i="7"/>
  <c r="S33" i="7"/>
  <c r="S35" i="7"/>
  <c r="S37" i="7"/>
  <c r="S40" i="7"/>
  <c r="S36" i="7"/>
  <c r="S45" i="7"/>
  <c r="R29" i="7"/>
  <c r="R35" i="7"/>
  <c r="R37" i="7"/>
  <c r="R40" i="7"/>
  <c r="R44" i="7"/>
  <c r="S52" i="7"/>
  <c r="S54" i="7"/>
  <c r="S56" i="7"/>
  <c r="S59" i="7"/>
  <c r="S42" i="7"/>
  <c r="S44" i="7"/>
  <c r="R51" i="7"/>
  <c r="R53" i="7"/>
  <c r="R58" i="7"/>
  <c r="R28" i="7"/>
  <c r="R30" i="7"/>
  <c r="R32" i="7"/>
  <c r="R34" i="7"/>
  <c r="R36" i="7"/>
  <c r="R41" i="7"/>
  <c r="S48" i="7"/>
  <c r="S51" i="7"/>
  <c r="S53" i="7"/>
  <c r="S58" i="7"/>
  <c r="S28" i="7"/>
  <c r="S30" i="7"/>
  <c r="S32" i="7"/>
  <c r="S34" i="7"/>
  <c r="S39" i="7"/>
  <c r="S41" i="7"/>
  <c r="R49" i="7"/>
  <c r="R52" i="7"/>
  <c r="R56" i="7"/>
  <c r="J1" i="7" l="1"/>
  <c r="I13" i="7"/>
  <c r="I14" i="7"/>
  <c r="I15" i="7"/>
  <c r="I16" i="7"/>
  <c r="I18" i="7"/>
  <c r="I19" i="7"/>
  <c r="I20" i="7"/>
  <c r="I21" i="7"/>
  <c r="I22" i="7"/>
  <c r="I23" i="7"/>
  <c r="I24" i="7"/>
  <c r="I26" i="7"/>
  <c r="I27" i="7"/>
  <c r="I28" i="7"/>
  <c r="I29" i="7"/>
  <c r="I30" i="7"/>
  <c r="I31" i="7"/>
  <c r="I32" i="7"/>
  <c r="I33" i="7"/>
  <c r="I34" i="7"/>
  <c r="I35" i="7"/>
  <c r="I36" i="7"/>
  <c r="I37" i="7"/>
  <c r="I39" i="7"/>
  <c r="I40" i="7"/>
  <c r="I41" i="7"/>
  <c r="I42" i="7"/>
  <c r="I43" i="7"/>
  <c r="I44" i="7"/>
  <c r="I45" i="7"/>
  <c r="I46" i="7"/>
  <c r="I48" i="7"/>
  <c r="I49" i="7"/>
  <c r="I51" i="7"/>
  <c r="I52" i="7"/>
  <c r="I53" i="7"/>
  <c r="I54" i="7"/>
  <c r="I55" i="7"/>
  <c r="I56" i="7"/>
  <c r="I57" i="7"/>
  <c r="I58" i="7"/>
  <c r="I59" i="7"/>
  <c r="I60" i="7"/>
  <c r="I61" i="7"/>
  <c r="I63" i="7"/>
  <c r="I64" i="7"/>
  <c r="I65" i="7"/>
  <c r="I66" i="7"/>
  <c r="J71" i="7"/>
  <c r="A4" i="7"/>
  <c r="A3" i="7"/>
  <c r="N60" i="7" l="1"/>
  <c r="R60" i="7" s="1"/>
  <c r="N57" i="7"/>
  <c r="R57" i="7" s="1"/>
  <c r="N48" i="7"/>
  <c r="R48" i="7" s="1"/>
  <c r="N20" i="7"/>
  <c r="R20" i="7" s="1"/>
  <c r="O57" i="7" l="1"/>
  <c r="S57" i="7" s="1"/>
  <c r="I64" i="6" l="1"/>
  <c r="K64" i="6" s="1"/>
  <c r="D64" i="6"/>
  <c r="I63" i="6"/>
  <c r="K63" i="6" s="1"/>
  <c r="D63" i="6"/>
  <c r="I62" i="6"/>
  <c r="K62" i="6" s="1"/>
  <c r="P62" i="6" s="1"/>
  <c r="D62" i="6"/>
  <c r="I61" i="6"/>
  <c r="K61" i="6" s="1"/>
  <c r="P61" i="6" s="1"/>
  <c r="D61" i="6"/>
  <c r="I59" i="6"/>
  <c r="K59" i="6" s="1"/>
  <c r="P59" i="6" s="1"/>
  <c r="D59" i="6"/>
  <c r="I58" i="6"/>
  <c r="K58" i="6" s="1"/>
  <c r="P58" i="6" s="1"/>
  <c r="D58" i="6"/>
  <c r="I57" i="6"/>
  <c r="K57" i="6" s="1"/>
  <c r="P57" i="6" s="1"/>
  <c r="D57" i="6"/>
  <c r="I56" i="6"/>
  <c r="K56" i="6" s="1"/>
  <c r="P56" i="6" s="1"/>
  <c r="D56" i="6"/>
  <c r="I55" i="6"/>
  <c r="K55" i="6" s="1"/>
  <c r="P55" i="6" s="1"/>
  <c r="D55" i="6"/>
  <c r="I54" i="6"/>
  <c r="K54" i="6" s="1"/>
  <c r="P54" i="6" s="1"/>
  <c r="D54" i="6"/>
  <c r="I53" i="6"/>
  <c r="K53" i="6" s="1"/>
  <c r="P53" i="6" s="1"/>
  <c r="D53" i="6"/>
  <c r="I52" i="6"/>
  <c r="K52" i="6" s="1"/>
  <c r="P52" i="6" s="1"/>
  <c r="D52" i="6"/>
  <c r="I51" i="6"/>
  <c r="K51" i="6" s="1"/>
  <c r="P51" i="6" s="1"/>
  <c r="D51" i="6"/>
  <c r="I50" i="6"/>
  <c r="K50" i="6" s="1"/>
  <c r="P50" i="6" s="1"/>
  <c r="D50" i="6"/>
  <c r="I49" i="6"/>
  <c r="K49" i="6" s="1"/>
  <c r="P49" i="6" s="1"/>
  <c r="D49" i="6"/>
  <c r="I47" i="6"/>
  <c r="K47" i="6" s="1"/>
  <c r="P47" i="6" s="1"/>
  <c r="D47" i="6"/>
  <c r="I46" i="6"/>
  <c r="K46" i="6" s="1"/>
  <c r="P46" i="6" s="1"/>
  <c r="D46" i="6"/>
  <c r="I44" i="6"/>
  <c r="K44" i="6" s="1"/>
  <c r="P44" i="6" s="1"/>
  <c r="I43" i="6"/>
  <c r="K43" i="6" s="1"/>
  <c r="P43" i="6" s="1"/>
  <c r="I42" i="6"/>
  <c r="K42" i="6" s="1"/>
  <c r="P42" i="6" s="1"/>
  <c r="I41" i="6"/>
  <c r="K41" i="6" s="1"/>
  <c r="I40" i="6"/>
  <c r="K40" i="6" s="1"/>
  <c r="P40" i="6" s="1"/>
  <c r="I39" i="6"/>
  <c r="K39" i="6" s="1"/>
  <c r="P39" i="6" s="1"/>
  <c r="I38" i="6"/>
  <c r="K38" i="6" s="1"/>
  <c r="P38" i="6" s="1"/>
  <c r="I37" i="6"/>
  <c r="K37" i="6" s="1"/>
  <c r="P37" i="6" s="1"/>
  <c r="I35" i="6"/>
  <c r="K35" i="6" s="1"/>
  <c r="P35" i="6" s="1"/>
  <c r="I34" i="6"/>
  <c r="K34" i="6" s="1"/>
  <c r="P34" i="6" s="1"/>
  <c r="I33" i="6"/>
  <c r="K33" i="6" s="1"/>
  <c r="P33" i="6" s="1"/>
  <c r="I32" i="6"/>
  <c r="K32" i="6" s="1"/>
  <c r="P32" i="6" s="1"/>
  <c r="I31" i="6"/>
  <c r="K31" i="6" s="1"/>
  <c r="P31" i="6" s="1"/>
  <c r="I30" i="6"/>
  <c r="K30" i="6" s="1"/>
  <c r="P30" i="6" s="1"/>
  <c r="I29" i="6"/>
  <c r="K29" i="6" s="1"/>
  <c r="P29" i="6" s="1"/>
  <c r="I28" i="6"/>
  <c r="K28" i="6" s="1"/>
  <c r="P28" i="6" s="1"/>
  <c r="I27" i="6"/>
  <c r="K27" i="6" s="1"/>
  <c r="P27" i="6" s="1"/>
  <c r="I26" i="6"/>
  <c r="K26" i="6" s="1"/>
  <c r="P26" i="6" s="1"/>
  <c r="I25" i="6"/>
  <c r="K25" i="6" s="1"/>
  <c r="P25" i="6" s="1"/>
  <c r="I24" i="6"/>
  <c r="K24" i="6" s="1"/>
  <c r="P24" i="6" s="1"/>
  <c r="I22" i="6"/>
  <c r="K22" i="6" s="1"/>
  <c r="P22" i="6" s="1"/>
  <c r="D22" i="6"/>
  <c r="I21" i="6"/>
  <c r="K21" i="6" s="1"/>
  <c r="L21" i="6" s="1"/>
  <c r="D21" i="6"/>
  <c r="I20" i="6"/>
  <c r="K20" i="6" s="1"/>
  <c r="L20" i="6" s="1"/>
  <c r="D20" i="6"/>
  <c r="I19" i="6"/>
  <c r="K19" i="6" s="1"/>
  <c r="L19" i="6" s="1"/>
  <c r="D19" i="6"/>
  <c r="I18" i="6"/>
  <c r="K18" i="6" s="1"/>
  <c r="L18" i="6" s="1"/>
  <c r="D18" i="6"/>
  <c r="I17" i="6"/>
  <c r="K17" i="6" s="1"/>
  <c r="P17" i="6" s="1"/>
  <c r="D17" i="6"/>
  <c r="I16" i="6"/>
  <c r="K16" i="6" s="1"/>
  <c r="P16" i="6" s="1"/>
  <c r="D16" i="6"/>
  <c r="I14" i="6"/>
  <c r="K14" i="6" s="1"/>
  <c r="L14" i="6" s="1"/>
  <c r="D14" i="6"/>
  <c r="I13" i="6"/>
  <c r="K13" i="6" s="1"/>
  <c r="D13" i="6"/>
  <c r="I12" i="6"/>
  <c r="K12" i="6" s="1"/>
  <c r="L12" i="6" s="1"/>
  <c r="D12" i="6"/>
  <c r="I11" i="6"/>
  <c r="K11" i="6" s="1"/>
  <c r="D11" i="6"/>
  <c r="P41" i="6" l="1"/>
  <c r="L11" i="6"/>
  <c r="P11" i="6"/>
  <c r="L13" i="6"/>
  <c r="M13" i="6" s="1"/>
  <c r="P13" i="6"/>
  <c r="P12" i="6"/>
  <c r="P20" i="6"/>
  <c r="P18" i="6"/>
  <c r="P14" i="6"/>
  <c r="P21" i="6"/>
  <c r="P19" i="6"/>
  <c r="M11" i="6"/>
  <c r="M12" i="6"/>
  <c r="M14" i="6"/>
  <c r="L16" i="6"/>
  <c r="M16" i="6" s="1"/>
  <c r="L17" i="6"/>
  <c r="M17" i="6" s="1"/>
  <c r="L25" i="6"/>
  <c r="M25" i="6" s="1"/>
  <c r="L29" i="6"/>
  <c r="M29" i="6" s="1"/>
  <c r="L33" i="6"/>
  <c r="M33" i="6" s="1"/>
  <c r="L38" i="6"/>
  <c r="M38" i="6" s="1"/>
  <c r="L42" i="6"/>
  <c r="M42" i="6" s="1"/>
  <c r="M18" i="6"/>
  <c r="M19" i="6"/>
  <c r="M20" i="6"/>
  <c r="M21" i="6"/>
  <c r="L22" i="6"/>
  <c r="M22" i="6" s="1"/>
  <c r="L27" i="6"/>
  <c r="M27" i="6" s="1"/>
  <c r="L31" i="6"/>
  <c r="M31" i="6" s="1"/>
  <c r="L35" i="6"/>
  <c r="M35" i="6" s="1"/>
  <c r="L40" i="6"/>
  <c r="M40" i="6" s="1"/>
  <c r="L44" i="6"/>
  <c r="M44" i="6" s="1"/>
  <c r="L46" i="6"/>
  <c r="M46" i="6" s="1"/>
  <c r="L47" i="6"/>
  <c r="M47" i="6" s="1"/>
  <c r="L49" i="6"/>
  <c r="M49" i="6" s="1"/>
  <c r="L50" i="6"/>
  <c r="M50" i="6" s="1"/>
  <c r="L51" i="6"/>
  <c r="M51" i="6" s="1"/>
  <c r="L52" i="6"/>
  <c r="M52" i="6" s="1"/>
  <c r="L53" i="6"/>
  <c r="M53" i="6" s="1"/>
  <c r="L54" i="6"/>
  <c r="M54" i="6" s="1"/>
  <c r="L55" i="6"/>
  <c r="M55" i="6" s="1"/>
  <c r="L56" i="6"/>
  <c r="M56" i="6" s="1"/>
  <c r="L57" i="6"/>
  <c r="M57" i="6" s="1"/>
  <c r="L58" i="6"/>
  <c r="M58" i="6" s="1"/>
  <c r="L59" i="6"/>
  <c r="M59" i="6" s="1"/>
  <c r="L61" i="6"/>
  <c r="M61" i="6" s="1"/>
  <c r="L62" i="6"/>
  <c r="M62" i="6" s="1"/>
  <c r="L63" i="6"/>
  <c r="M63" i="6" s="1"/>
  <c r="O63" i="6" s="1"/>
  <c r="L64" i="6"/>
  <c r="M64" i="6" s="1"/>
  <c r="O64" i="6" s="1"/>
  <c r="L24" i="6"/>
  <c r="M24" i="6" s="1"/>
  <c r="L26" i="6"/>
  <c r="M26" i="6" s="1"/>
  <c r="L28" i="6"/>
  <c r="M28" i="6" s="1"/>
  <c r="L30" i="6"/>
  <c r="M30" i="6" s="1"/>
  <c r="L32" i="6"/>
  <c r="M32" i="6" s="1"/>
  <c r="L34" i="6"/>
  <c r="M34" i="6" s="1"/>
  <c r="L37" i="6"/>
  <c r="M37" i="6" s="1"/>
  <c r="L39" i="6"/>
  <c r="M39" i="6" s="1"/>
  <c r="L41" i="6"/>
  <c r="M41" i="6" s="1"/>
  <c r="L43" i="6"/>
  <c r="M43" i="6" s="1"/>
  <c r="O34" i="6" l="1"/>
  <c r="Q34" i="6"/>
  <c r="O38" i="6"/>
  <c r="Q38" i="6"/>
  <c r="O13" i="6"/>
  <c r="Q13" i="6"/>
  <c r="O43" i="6"/>
  <c r="Q43" i="6"/>
  <c r="O40" i="6"/>
  <c r="Q40" i="6"/>
  <c r="O26" i="6"/>
  <c r="Q26" i="6"/>
  <c r="O22" i="6"/>
  <c r="Q22" i="6"/>
  <c r="O29" i="6"/>
  <c r="Q29" i="6"/>
  <c r="O32" i="6"/>
  <c r="Q32" i="6"/>
  <c r="O39" i="6"/>
  <c r="Q39" i="6"/>
  <c r="O30" i="6"/>
  <c r="Q30" i="6"/>
  <c r="O35" i="6"/>
  <c r="Q35" i="6"/>
  <c r="O19" i="6"/>
  <c r="Q19" i="6"/>
  <c r="O17" i="6"/>
  <c r="Q17" i="6"/>
  <c r="O12" i="6"/>
  <c r="Q12" i="6"/>
  <c r="O44" i="6"/>
  <c r="Q44" i="6"/>
  <c r="O31" i="6"/>
  <c r="Q31" i="6"/>
  <c r="O18" i="6"/>
  <c r="Q18" i="6"/>
  <c r="O16" i="6"/>
  <c r="Q16" i="6"/>
  <c r="O11" i="6"/>
  <c r="Q11" i="6"/>
  <c r="O37" i="6"/>
  <c r="Q37" i="6"/>
  <c r="O28" i="6"/>
  <c r="Q28" i="6"/>
  <c r="O21" i="6"/>
  <c r="Q21" i="6"/>
  <c r="O14" i="6"/>
  <c r="Q14" i="6"/>
  <c r="O41" i="6"/>
  <c r="Q41" i="6"/>
  <c r="O24" i="6"/>
  <c r="Q24" i="6"/>
  <c r="O27" i="6"/>
  <c r="Q27" i="6"/>
  <c r="O20" i="6"/>
  <c r="Q20" i="6"/>
  <c r="O42" i="6"/>
  <c r="Q42" i="6"/>
  <c r="O33" i="6"/>
  <c r="Q33" i="6"/>
  <c r="O25" i="6"/>
  <c r="Q25" i="6"/>
  <c r="O62" i="6"/>
  <c r="Q62" i="6"/>
  <c r="O59" i="6"/>
  <c r="Q59" i="6"/>
  <c r="O57" i="6"/>
  <c r="Q57" i="6"/>
  <c r="O55" i="6"/>
  <c r="Q55" i="6"/>
  <c r="O53" i="6"/>
  <c r="Q53" i="6"/>
  <c r="O51" i="6"/>
  <c r="Q51" i="6"/>
  <c r="O49" i="6"/>
  <c r="Q49" i="6"/>
  <c r="O46" i="6"/>
  <c r="Q46" i="6"/>
  <c r="O61" i="6"/>
  <c r="Q61" i="6"/>
  <c r="O58" i="6"/>
  <c r="Q58" i="6"/>
  <c r="O56" i="6"/>
  <c r="Q56" i="6"/>
  <c r="O54" i="6"/>
  <c r="Q54" i="6"/>
  <c r="O52" i="6"/>
  <c r="Q52" i="6"/>
  <c r="O50" i="6"/>
  <c r="Q50" i="6"/>
  <c r="O47" i="6"/>
  <c r="Q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Мудрицька Юлія Петрівна</author>
  </authors>
  <commentList>
    <comment ref="E9" authorId="0" shapeId="0" xr:uid="{00000000-0006-0000-0700-000001000000}">
      <text>
        <r>
          <rPr>
            <b/>
            <sz val="9"/>
            <color indexed="81"/>
            <rFont val="Tahoma"/>
            <family val="2"/>
            <charset val="204"/>
          </rPr>
          <t>Мудрицька Юлія Петрівна:</t>
        </r>
        <r>
          <rPr>
            <sz val="9"/>
            <color indexed="81"/>
            <rFont val="Tahoma"/>
            <family val="2"/>
            <charset val="204"/>
          </rPr>
          <t xml:space="preserve">
Коеф 0,8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Мудрицька Юлія Петрівна</author>
  </authors>
  <commentList>
    <comment ref="F11" authorId="0" shapeId="0" xr:uid="{00000000-0006-0000-0900-000001000000}">
      <text>
        <r>
          <rPr>
            <b/>
            <sz val="9"/>
            <color indexed="81"/>
            <rFont val="Tahoma"/>
            <family val="2"/>
            <charset val="204"/>
          </rPr>
          <t>Мудрицька Юлія Петрівна:</t>
        </r>
        <r>
          <rPr>
            <sz val="9"/>
            <color indexed="81"/>
            <rFont val="Tahoma"/>
            <family val="2"/>
            <charset val="204"/>
          </rPr>
          <t xml:space="preserve">
з нарахуваннями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Мудрицька Юлія Петрівна</author>
  </authors>
  <commentList>
    <comment ref="F11" authorId="0" shapeId="0" xr:uid="{00000000-0006-0000-0A00-000001000000}">
      <text>
        <r>
          <rPr>
            <b/>
            <sz val="9"/>
            <color indexed="81"/>
            <rFont val="Tahoma"/>
            <family val="2"/>
            <charset val="204"/>
          </rPr>
          <t>Мудрицька Юлія Петрівна:</t>
        </r>
        <r>
          <rPr>
            <sz val="9"/>
            <color indexed="81"/>
            <rFont val="Tahoma"/>
            <family val="2"/>
            <charset val="204"/>
          </rPr>
          <t xml:space="preserve">
з нарахуваннями</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Мудрицька Юлія Петрівна</author>
  </authors>
  <commentList>
    <comment ref="F11" authorId="0" shapeId="0" xr:uid="{00000000-0006-0000-0B00-000001000000}">
      <text>
        <r>
          <rPr>
            <b/>
            <sz val="9"/>
            <color indexed="81"/>
            <rFont val="Tahoma"/>
            <family val="2"/>
            <charset val="204"/>
          </rPr>
          <t>Мудрицька Юлія Петрівна:</t>
        </r>
        <r>
          <rPr>
            <sz val="9"/>
            <color indexed="81"/>
            <rFont val="Tahoma"/>
            <family val="2"/>
            <charset val="204"/>
          </rPr>
          <t xml:space="preserve">
з нарахуваннями</t>
        </r>
      </text>
    </comment>
  </commentList>
</comments>
</file>

<file path=xl/sharedStrings.xml><?xml version="1.0" encoding="utf-8"?>
<sst xmlns="http://schemas.openxmlformats.org/spreadsheetml/2006/main" count="1349" uniqueCount="372">
  <si>
    <t>Дніпропетровська філія ТОВ «Газорозподільні мережі України» інформує:</t>
  </si>
  <si>
    <r>
      <t>З 01.10.2023р</t>
    </r>
    <r>
      <rPr>
        <sz val="11"/>
        <rFont val="Arial"/>
        <family val="2"/>
        <charset val="204"/>
      </rPr>
      <t>. розмір оплати за послуги та роботи визначається на підставі «Кодексу газорозподільних систем» та  «Методології встановлення плати за приєднання до газотранспортних і газорозподільних систем», обсягів виконаних робіт,відповідно до державних стандартів та  державних будівельних норм, відомчих нормативних актів, затверджених відповідно до законодавства.</t>
    </r>
  </si>
  <si>
    <t xml:space="preserve">Перелік монопольних платних  послуг Дніпропетровська філія ТОВ «Газорозподільні мережи України» відповідно до «Кодексу газорозподільних систем» та  «Методології встановлення плати за приєднання до газотранспортних і газорозподільних систем» </t>
  </si>
  <si>
    <t>№ 
п/п</t>
  </si>
  <si>
    <t>Вид (назва) послуги</t>
  </si>
  <si>
    <t>Вартість послуги, 
грн без ПДВ</t>
  </si>
  <si>
    <t>Вартість послуги,
 грн з ПДВ</t>
  </si>
  <si>
    <t>Надання замовнику дозволу на приєднання його об'єкта до газотранспортної/газорозподільної системи</t>
  </si>
  <si>
    <t>безкоштовно згідно «Методології встановлення 
плати за приєднання до газотранспортних і газорозподільних систем» (п.IV; п.п.2)</t>
  </si>
  <si>
    <t>Надання  технічних умов приєднання або реконструкції вузла обліку газу*:</t>
  </si>
  <si>
    <t>2.1</t>
  </si>
  <si>
    <t>Видача ТУ на газифікацію об`єктів виробничого і невиробничого призначення (приєднання до газових мереж юридичних осіб)</t>
  </si>
  <si>
    <t>2.2</t>
  </si>
  <si>
    <t>Видача ТУ на реконструкцію та внутрішнє газопостачання об`єктів виробничого і невиробничого призначення (юридичних осіб)</t>
  </si>
  <si>
    <t>2.3</t>
  </si>
  <si>
    <t>Видача ТУ на газифікацію індивідуальних житлових  будинків і квартир (приєднання до газових мереж фізичних осіб)</t>
  </si>
  <si>
    <t>2.4</t>
  </si>
  <si>
    <t>Видача ТУ на реконструкцію та внутрішнє газопостачання індивідуальних житлових будинків і квартир(фізичних осіб)</t>
  </si>
  <si>
    <t>2.5</t>
  </si>
  <si>
    <t>Видача ТУ на реконструкцію системи газопостачання багатоквартирних житлових будинків з встановленням індивідуального опалення</t>
  </si>
  <si>
    <t>*  Додатково враховуються транспортні витрати</t>
  </si>
  <si>
    <t>Надання проекту договору про приєднання</t>
  </si>
  <si>
    <t>Погодження у випадках, передбачених Кодексом газорозподільних систем або Кодексом газорозподільної системи, проектної документації на відповідність наданим технічним умовам та чиним нормативно-правовим актам:</t>
  </si>
  <si>
    <t>4.1</t>
  </si>
  <si>
    <t>Погодження ПКД на газифікацію об`єктів виробничого  і невиробничого призначення (приєднання до газових мереж юридичних осіб)</t>
  </si>
  <si>
    <t>4.2</t>
  </si>
  <si>
    <t>Погодження ПКД на реконструкцію та внутрішнє газопостачання об єктів виробничого і невиробничого призначення (юридичних осіб)</t>
  </si>
  <si>
    <t>4.3</t>
  </si>
  <si>
    <t>Погодження ПКД на газифікацію індивідуальних житлових будинків і квартир  (приєднання до газових мереж фізичних осіб)</t>
  </si>
  <si>
    <t>4.4</t>
  </si>
  <si>
    <t>Погодження ПКД на реконструкцію та внутрішнє газопостачання індивідуальних житлових будинків і квартир (фізичних осіб)</t>
  </si>
  <si>
    <t>Підключення газових мереж зовнішнього газопостачання в місці забезпечення потужності**:</t>
  </si>
  <si>
    <r>
      <t xml:space="preserve">посилання на </t>
    </r>
    <r>
      <rPr>
        <b/>
        <sz val="9"/>
        <rFont val="Arial"/>
        <family val="2"/>
        <charset val="204"/>
      </rPr>
      <t>Калькуляцію М.Р.5</t>
    </r>
    <r>
      <rPr>
        <sz val="9"/>
        <rFont val="Arial"/>
        <family val="2"/>
        <charset val="204"/>
      </rPr>
      <t xml:space="preserve"> Договірна ціна підключення (врізки) у діючі газопроводи, відключення та встановлення заглушки на діючому газопроводі, обрізку діючого внутрішнього газопроводу та пуск газу у мережу</t>
    </r>
  </si>
  <si>
    <t>5.1</t>
  </si>
  <si>
    <t>Підключення (врізка) штуцером під газом у діючі мережі низького тиску діаметром від 25 мм до 100 мм</t>
  </si>
  <si>
    <t>5.2</t>
  </si>
  <si>
    <t>Підключення (врізка) штуцером у діючі мережі низького тиску під газом зі зниженням тиску діаметром від 50 мм до 700 мм</t>
  </si>
  <si>
    <t>5.3</t>
  </si>
  <si>
    <t>Підключення (врізка) муфтою у діючі мережі низького тиску під газом зі зниженням тиску діаметром від 50 мм до 700 мм</t>
  </si>
  <si>
    <t>5.4</t>
  </si>
  <si>
    <t>Підключення (врізка, встановлення) поліетиленових трійників діаметром від 32 мм до 160 мм</t>
  </si>
  <si>
    <t>Підключення (врізка) до газотранспортної або газорозподільної системи газових мереж внутрішнього газопостачання замовника в точці приєднання**:</t>
  </si>
  <si>
    <t>Припинення (обмеження) транспортування або розподілу природнього газу**:</t>
  </si>
  <si>
    <t>7.1</t>
  </si>
  <si>
    <t>Відключення та встановлення заглушки під газом на діючому газопроводі діаметром:</t>
  </si>
  <si>
    <t>7.2</t>
  </si>
  <si>
    <r>
      <t>Обрізка діючого внутрішнього газопроводу</t>
    </r>
    <r>
      <rPr>
        <sz val="8"/>
        <color rgb="FFFF0000"/>
        <rFont val="Arial"/>
        <family val="2"/>
        <charset val="204"/>
      </rPr>
      <t xml:space="preserve"> </t>
    </r>
  </si>
  <si>
    <t>Пуск газу на об'єкт замовника**:</t>
  </si>
  <si>
    <r>
      <t xml:space="preserve">посилання на </t>
    </r>
    <r>
      <rPr>
        <b/>
        <sz val="9"/>
        <rFont val="Arial"/>
        <family val="2"/>
        <charset val="204"/>
      </rPr>
      <t xml:space="preserve">Калькуляцію М.Р.9 </t>
    </r>
    <r>
      <rPr>
        <sz val="9"/>
        <rFont val="Arial"/>
        <family val="2"/>
        <charset val="204"/>
      </rPr>
      <t>Пуск газу в газове обладнання житлового будинку, пуску газу в окрему квартиру та пуску газу в газопровід комунально-побутового об'єкту</t>
    </r>
  </si>
  <si>
    <t>9</t>
  </si>
  <si>
    <t>Припинення газопостачання на об'єкт споживача шляхом перекриття вимикаючого пристрою та опломбуванням діаметром:</t>
  </si>
  <si>
    <r>
      <t xml:space="preserve">посилання на </t>
    </r>
    <r>
      <rPr>
        <b/>
        <sz val="9"/>
        <rFont val="Arial"/>
        <family val="2"/>
        <charset val="204"/>
      </rPr>
      <t xml:space="preserve">Калькуляцію М.Р.6 </t>
    </r>
    <r>
      <rPr>
        <sz val="9"/>
        <rFont val="Arial"/>
        <family val="2"/>
        <charset val="204"/>
      </rPr>
      <t>Припинення газопостачання на об'єкт споживача шляхом перекриття вимикаючого пристрою та опломбуванням</t>
    </r>
  </si>
  <si>
    <t>10</t>
  </si>
  <si>
    <t>Припинення газопостачання на об'єкт споживача шляхом перекриття вимикаючого пристрою з встановленням інвентарної заглушки та опломбуванням діаметром:</t>
  </si>
  <si>
    <r>
      <t xml:space="preserve">посилання на </t>
    </r>
    <r>
      <rPr>
        <b/>
        <sz val="9"/>
        <rFont val="Arial"/>
        <family val="2"/>
        <charset val="204"/>
      </rPr>
      <t xml:space="preserve">Калькуляцію М.Р.7 </t>
    </r>
    <r>
      <rPr>
        <sz val="9"/>
        <rFont val="Arial"/>
        <family val="2"/>
        <charset val="204"/>
      </rPr>
      <t>Припинення газопостачання на об'єкт споживача шляхом перекриття вимикаючого пристрою з встановленням інвентарної заглушки та опломбуванням</t>
    </r>
  </si>
  <si>
    <t>11</t>
  </si>
  <si>
    <t>Відновлення газопостачання на об'єкт споживача шляхом відкриття вимикаючого пристрою та зняття пломби діаметром:</t>
  </si>
  <si>
    <r>
      <t xml:space="preserve">посилання на </t>
    </r>
    <r>
      <rPr>
        <b/>
        <sz val="9"/>
        <rFont val="Arial"/>
        <family val="2"/>
        <charset val="204"/>
      </rPr>
      <t xml:space="preserve">Калькуляцію М.Р.6.1 </t>
    </r>
    <r>
      <rPr>
        <sz val="9"/>
        <rFont val="Arial"/>
        <family val="2"/>
        <charset val="204"/>
      </rPr>
      <t>Відновлення газопостачання на об'єкт споживача шляхом відкриття вимикаючого пристрою та зняття пломби</t>
    </r>
  </si>
  <si>
    <t>12</t>
  </si>
  <si>
    <t>Відновлення газопостачання на об'єкт споживача шляхом відкриття вимикаючого пристрою, зняття інвентарної заглушки та розпломбування діаметром:</t>
  </si>
  <si>
    <r>
      <t xml:space="preserve">посилання на </t>
    </r>
    <r>
      <rPr>
        <b/>
        <sz val="9"/>
        <rFont val="Arial"/>
        <family val="2"/>
        <charset val="204"/>
      </rPr>
      <t xml:space="preserve">Калькуляцію М.Р.7.1 </t>
    </r>
    <r>
      <rPr>
        <sz val="9"/>
        <rFont val="Arial"/>
        <family val="2"/>
        <charset val="204"/>
      </rPr>
      <t>Відновлення газопостачання на об'єкт споживача шляхом відкриття вимикаючого пристрою, зняття інвентарної заглушки та розпломбування</t>
    </r>
  </si>
  <si>
    <t xml:space="preserve"> **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 
    </t>
  </si>
  <si>
    <t>Оформлення та нагляд за роботами в охоронній зоні газорозподільних мереж</t>
  </si>
  <si>
    <t>Роботи з підготовки та надання вихідних даних (документів), які необхідні для проведення гідравлічного розрахунку</t>
  </si>
  <si>
    <t>Опрацювання виконавчо-технічної документації та схем підключення існуючих побутових споживачів (з розрахунку на 10 од.)</t>
  </si>
  <si>
    <t>Опрацювання виконавчо-технічної документації та схем підключення існуючих побутових споживачів (з розрахунку на 1 од.)</t>
  </si>
  <si>
    <t>Опрацювання виконавчо-технічної документації та схем підключення існуючих непобутових споживачів (з розрахунку на 1 од.)</t>
  </si>
  <si>
    <t>Опрацювання виконавчо-технічної документації та схем існуючих газопроводів (з розрахунку на 100 м.п.)</t>
  </si>
  <si>
    <t xml:space="preserve">Опрацювання виконавчо-технічної документації та схем існуючих газопроводів (з розрахунку на 10 м.п.)      </t>
  </si>
  <si>
    <r>
      <t xml:space="preserve">Про встановлення ставок плати за стандартне приєднання до газорозподільних систем на 2023 рік в умовах дії воєнного стану </t>
    </r>
    <r>
      <rPr>
        <b/>
        <sz val="9"/>
        <color rgb="FF1D1D1B"/>
        <rFont val="Arial"/>
        <family val="2"/>
        <charset val="204"/>
      </rPr>
      <t>Постановою НКРЕКП від 20.12.2022 року № 1737  «Про встановлення граничного рівня плати за приєднання, що є стандартним, до газорозподільних систем на 2023 рік»</t>
    </r>
    <r>
      <rPr>
        <sz val="9"/>
        <color rgb="FF1D1D1B"/>
        <rFont val="Arial"/>
        <family val="2"/>
        <charset val="204"/>
      </rPr>
      <t xml:space="preserve"> затверджені ставки плати за стандартне приєднання до газових мереж, що діятимуть протягом 2023 року. Постанова набрала </t>
    </r>
    <r>
      <rPr>
        <b/>
        <sz val="9"/>
        <color rgb="FF1D1D1B"/>
        <rFont val="Arial"/>
        <family val="2"/>
        <charset val="204"/>
      </rPr>
      <t>чинності з 01.01.2023 року.</t>
    </r>
    <r>
      <rPr>
        <sz val="9"/>
        <color rgb="FF1D1D1B"/>
        <rFont val="Arial"/>
        <family val="2"/>
        <charset val="204"/>
      </rPr>
      <t xml:space="preserve">
Ставки плати за стандартне приєднання до газових мереж </t>
    </r>
    <r>
      <rPr>
        <b/>
        <sz val="9"/>
        <color rgb="FF1D1D1B"/>
        <rFont val="Arial"/>
        <family val="2"/>
        <charset val="204"/>
      </rPr>
      <t xml:space="preserve">у Дніпропетровській області на 2023 рік </t>
    </r>
    <r>
      <rPr>
        <sz val="9"/>
        <color rgb="FF1D1D1B"/>
        <rFont val="Arial"/>
        <family val="2"/>
        <charset val="204"/>
      </rPr>
      <t xml:space="preserve">(грн., без ПДВ) становлять:
</t>
    </r>
  </si>
  <si>
    <t>Типорозмір лічильника G 1,6</t>
  </si>
  <si>
    <t>Міська місцевість, підземне</t>
  </si>
  <si>
    <t>Міська місцевість, надземне</t>
  </si>
  <si>
    <t>Сільська місцевість, підземне</t>
  </si>
  <si>
    <t>Сільська місцевість, надземне</t>
  </si>
  <si>
    <t>Типорозмір лічильника G 2,5</t>
  </si>
  <si>
    <t>Типорозмір лічильника G 4</t>
  </si>
  <si>
    <t>Типорозмір лічильника G 6</t>
  </si>
  <si>
    <t>Типорозмір лічильника G 10</t>
  </si>
  <si>
    <t>КАЛЬКУЛЯЦІЯ М. Р. 5</t>
  </si>
  <si>
    <t>Договірна ціна на підключення (врізки) у діючі газопроводи, відключення та встановлення заглушки на діючому газопроводі, 
обрізку діючого внутрішнього газопроводу та пуск газу у мережу</t>
  </si>
  <si>
    <t>Вартість робіт розрахована у ПК АВК</t>
  </si>
  <si>
    <t>№ п/п</t>
  </si>
  <si>
    <t>Найменування робіт</t>
  </si>
  <si>
    <t>Джерело</t>
  </si>
  <si>
    <t>Норма часу (люд.-год.)</t>
  </si>
  <si>
    <t>Основна та додаткова зарплата з нарахування на з/п</t>
  </si>
  <si>
    <t>Загальновиробничі витрати</t>
  </si>
  <si>
    <t>Адміністративні витрати</t>
  </si>
  <si>
    <t xml:space="preserve">Собівартість </t>
  </si>
  <si>
    <t>Рентабельність</t>
  </si>
  <si>
    <t>Вартість послуги без ПДВ, грн</t>
  </si>
  <si>
    <t>ПДВ</t>
  </si>
  <si>
    <t>Вартість послуги з ПДВ, грн</t>
  </si>
  <si>
    <t>1</t>
  </si>
  <si>
    <t xml:space="preserve">Підключення (врізка) у діючу внутрішню мережу: </t>
  </si>
  <si>
    <t>Наказ 
№Но-27 від 02.10.2023р.</t>
  </si>
  <si>
    <t>1.2</t>
  </si>
  <si>
    <t>-          діаметром до 32 мм</t>
  </si>
  <si>
    <t>РН15-160-1</t>
  </si>
  <si>
    <t>1.3</t>
  </si>
  <si>
    <t>-          діаметром до 38 мм</t>
  </si>
  <si>
    <t>РН15-160-2</t>
  </si>
  <si>
    <t>1.4</t>
  </si>
  <si>
    <t>-          діаметром до 80 мм</t>
  </si>
  <si>
    <t>РН15-160-3</t>
  </si>
  <si>
    <t>1.5</t>
  </si>
  <si>
    <t>-          діаметром до 100 мм</t>
  </si>
  <si>
    <t>РН15-160-4</t>
  </si>
  <si>
    <t>2</t>
  </si>
  <si>
    <t xml:space="preserve">Підключення (врізка) штуцером під газом у діючі мережі низького тиску: </t>
  </si>
  <si>
    <t>-          діаметром 25 мм</t>
  </si>
  <si>
    <t>РН15-161-1</t>
  </si>
  <si>
    <t>-          діаметром 32 мм</t>
  </si>
  <si>
    <t>РН15-161-2</t>
  </si>
  <si>
    <t>-          діаметром 40 мм</t>
  </si>
  <si>
    <t>РН15-161-3</t>
  </si>
  <si>
    <t>-          діаметром 50 мм</t>
  </si>
  <si>
    <t>РН15-161-4</t>
  </si>
  <si>
    <t>-          діаметром 70 мм</t>
  </si>
  <si>
    <t>РН15-161-5</t>
  </si>
  <si>
    <t>2.6</t>
  </si>
  <si>
    <t>-          діаметром 80 мм</t>
  </si>
  <si>
    <t>РН15-161-6</t>
  </si>
  <si>
    <t>2.7</t>
  </si>
  <si>
    <t>-          діаметром 100 мм</t>
  </si>
  <si>
    <t>РН15-161-7</t>
  </si>
  <si>
    <t>3</t>
  </si>
  <si>
    <t xml:space="preserve">Підключення (врізка) штуцером у діючі мережі низького тиску під газом зі зниженням тиску: </t>
  </si>
  <si>
    <t>3.1</t>
  </si>
  <si>
    <t>-          діаметром до 70 мм</t>
  </si>
  <si>
    <t>Е24-103-1</t>
  </si>
  <si>
    <t>3.2</t>
  </si>
  <si>
    <t>Е24-103-2</t>
  </si>
  <si>
    <t>3.3</t>
  </si>
  <si>
    <t>Е24-103-3</t>
  </si>
  <si>
    <t>3.4</t>
  </si>
  <si>
    <t>-          діаметром 125 мм</t>
  </si>
  <si>
    <t>Е24-103-4</t>
  </si>
  <si>
    <t>3.5</t>
  </si>
  <si>
    <t>-          діаметром 150 мм</t>
  </si>
  <si>
    <t>Е24-103-5</t>
  </si>
  <si>
    <t>3.6</t>
  </si>
  <si>
    <t>-          діаметром 200 мм</t>
  </si>
  <si>
    <t>Е24-103-6</t>
  </si>
  <si>
    <t>3.7</t>
  </si>
  <si>
    <t>-         діаметром 250 мм</t>
  </si>
  <si>
    <t>Е24-103-7</t>
  </si>
  <si>
    <t>3.8</t>
  </si>
  <si>
    <t>-         діаметром 300 мм</t>
  </si>
  <si>
    <t>Е24-103-8</t>
  </si>
  <si>
    <t>3.9</t>
  </si>
  <si>
    <t>-         діаметром 400 мм</t>
  </si>
  <si>
    <t>Е24-103-9</t>
  </si>
  <si>
    <t>3.10</t>
  </si>
  <si>
    <t>-         діаметром 500 мм</t>
  </si>
  <si>
    <t>Е24-103-10</t>
  </si>
  <si>
    <t>3.11</t>
  </si>
  <si>
    <t>-         діаметром 600 мм</t>
  </si>
  <si>
    <t>Е24-103-11</t>
  </si>
  <si>
    <t>3.12</t>
  </si>
  <si>
    <t>-         діаметром 700 мм</t>
  </si>
  <si>
    <t>Е24-103-12</t>
  </si>
  <si>
    <t>4</t>
  </si>
  <si>
    <t xml:space="preserve">Підключення (врізка) муфтою у діючі мережі низького тиску під газом зі зниженням тиску діаметром: </t>
  </si>
  <si>
    <t>-          діаметром до 75 мм</t>
  </si>
  <si>
    <t>Е24-104-1</t>
  </si>
  <si>
    <t>Е24-104-2</t>
  </si>
  <si>
    <t>Е24-104-3</t>
  </si>
  <si>
    <t>Е24-104-4</t>
  </si>
  <si>
    <t>4.5</t>
  </si>
  <si>
    <t>-          діаметром 250 мм</t>
  </si>
  <si>
    <t>Е24-104-5</t>
  </si>
  <si>
    <t>4.6</t>
  </si>
  <si>
    <t>-          діаметром 300 мм</t>
  </si>
  <si>
    <t>Е24-104-6</t>
  </si>
  <si>
    <t>4.7</t>
  </si>
  <si>
    <t>-          діаметром 500 мм</t>
  </si>
  <si>
    <t>Е24-104-7</t>
  </si>
  <si>
    <t>4.8</t>
  </si>
  <si>
    <t>-          діаметром 700 мм</t>
  </si>
  <si>
    <t>Е24-104-8</t>
  </si>
  <si>
    <t>5</t>
  </si>
  <si>
    <t xml:space="preserve">Підключення (врізка, встановлення) поліетиленових трійників: </t>
  </si>
  <si>
    <t>-          діаметром до 110 мм</t>
  </si>
  <si>
    <t>ЕН22-34-10</t>
  </si>
  <si>
    <t>-          діаметром до 160 мм</t>
  </si>
  <si>
    <t>ЕН22-34-11</t>
  </si>
  <si>
    <t>6</t>
  </si>
  <si>
    <t xml:space="preserve">Відключення та встановлення заглушки під газом на діючому газопроводі: </t>
  </si>
  <si>
    <t>6.1</t>
  </si>
  <si>
    <t>-          діаметром до 50 мм</t>
  </si>
  <si>
    <t>Е24-106-1</t>
  </si>
  <si>
    <t>6.2</t>
  </si>
  <si>
    <t>-          діаметром 63-75 мм</t>
  </si>
  <si>
    <t>Е24-106-2</t>
  </si>
  <si>
    <t>6.3</t>
  </si>
  <si>
    <t>Е24-106-3</t>
  </si>
  <si>
    <t>6.4</t>
  </si>
  <si>
    <t>Е24-106-4</t>
  </si>
  <si>
    <t>6.5</t>
  </si>
  <si>
    <t>Е24-106-5</t>
  </si>
  <si>
    <t>6.6</t>
  </si>
  <si>
    <t>Е24-106-6</t>
  </si>
  <si>
    <t>6.7</t>
  </si>
  <si>
    <t>-          діаметром 250 мм</t>
  </si>
  <si>
    <t>Е24-106-7</t>
  </si>
  <si>
    <t>6.8</t>
  </si>
  <si>
    <t>-          діаметром 300 мм</t>
  </si>
  <si>
    <t>Е24-106-8</t>
  </si>
  <si>
    <t>6.9</t>
  </si>
  <si>
    <t>-          діаметром 350 мм</t>
  </si>
  <si>
    <t>Е24-106-9</t>
  </si>
  <si>
    <t>6.10</t>
  </si>
  <si>
    <t>-          діаметром 400 мм</t>
  </si>
  <si>
    <t>Е24-106-10</t>
  </si>
  <si>
    <t>6.11</t>
  </si>
  <si>
    <t>-          діаметром 500 мм</t>
  </si>
  <si>
    <t>Е24-106-11</t>
  </si>
  <si>
    <t>7</t>
  </si>
  <si>
    <t xml:space="preserve">Обрізка діючого внутрішнього газопроводу: </t>
  </si>
  <si>
    <t>Е19-16-1</t>
  </si>
  <si>
    <t>Е19-16-2</t>
  </si>
  <si>
    <t>8</t>
  </si>
  <si>
    <t>Пуск газу в стояк</t>
  </si>
  <si>
    <t>РН15-159-1</t>
  </si>
  <si>
    <t>Пуск газу в трубопроводи вводу</t>
  </si>
  <si>
    <t>РН15-159-2</t>
  </si>
  <si>
    <t xml:space="preserve">* Додатково враховуються  транспортні витрати, витрати на переміщення до об’єкту виконання робіт та витрати оператора на закупівлю об’єму газу необхідного для продувки та  заповнення газових мереж. </t>
  </si>
  <si>
    <t xml:space="preserve"> Інші види пусків, що не увійшли до визначеного переліку, розраховуються окремо на підставі індивідуальних калькуляцій та кошторисів, відповідно до технології  виконання.</t>
  </si>
  <si>
    <t>КАЛЬКУЛЯЦІЯ  М.Р.9</t>
  </si>
  <si>
    <t>Пуск газу в газове обладнання житлового будинку, пуску газу в окрему квартиру та пуску газу в газопровід комунально-побутового об'єкту</t>
  </si>
  <si>
    <t>Склад виконавців</t>
  </si>
  <si>
    <t>Норма часу (люд.- год.)</t>
  </si>
  <si>
    <t>Часова тарифна ставка</t>
  </si>
  <si>
    <t>Основна та додаткова зарплата</t>
  </si>
  <si>
    <t>Нарахування на зарплату</t>
  </si>
  <si>
    <t>Накладні витрати</t>
  </si>
  <si>
    <t>Собівартість</t>
  </si>
  <si>
    <t>Вартість послуг з ПДВ, грн</t>
  </si>
  <si>
    <t>ТНЧ</t>
  </si>
  <si>
    <t>Пуск газу в газове обладнання житлового будинку з кількістю приладів на 1 стояку до 5</t>
  </si>
  <si>
    <t>Слюсар з експлуатації газового устаткування 
4 розр.-3 люд.</t>
  </si>
  <si>
    <t>це ж,  6 - 10</t>
  </si>
  <si>
    <t>той же</t>
  </si>
  <si>
    <t>це ж, 11 - 15</t>
  </si>
  <si>
    <t>це ж, більше 15</t>
  </si>
  <si>
    <t>Пуск газу в окрему квартиру на 1 газовий прилад</t>
  </si>
  <si>
    <t>слюсар з експлуатації газового устаткування
4 розр.-2 люд.</t>
  </si>
  <si>
    <t xml:space="preserve">це ж, на кожний наступний прилад </t>
  </si>
  <si>
    <t>Пуск газа в газопровід комунально-побутового об'єкту</t>
  </si>
  <si>
    <t>КАЛЬКУЛЯЦІЯ М.Р.6</t>
  </si>
  <si>
    <t>Припинення газопостачання на об'єкт споживача шляхом перекриття вимикаючого пристрою та опломбуванням</t>
  </si>
  <si>
    <t>Вартість послуги  без ПДВ,  грн</t>
  </si>
  <si>
    <t>МНЧ</t>
  </si>
  <si>
    <t>Припинення газопостачання на об'єкт споживача шляхом перекриття вимикаючого пристрою та опломбуванням (крану діаметром до 50 мм), нормальні умови</t>
  </si>
  <si>
    <t>Слюсар з експлуатації та ремонту газового устаткування 
4 розр.-1 люд.;                  3 розр.-1 люд.  майстер-1 люд.</t>
  </si>
  <si>
    <t>Це ж, на висоті з приставної драбини</t>
  </si>
  <si>
    <t>Це ж, в колодязі</t>
  </si>
  <si>
    <t>Це ж,  (крану діаметром 65 - 150мм) нормальні умови</t>
  </si>
  <si>
    <t>Це ж, (крану діаметром до 200 - 300 мм) нормальні умови</t>
  </si>
  <si>
    <t>Це ж, (крану діаметром 350 - 500 мм) нормальні умови</t>
  </si>
  <si>
    <t>Це ж, (крану діаметром більше 500 мм) нормальні умови</t>
  </si>
  <si>
    <t>КАЛЬКУЛЯЦІЯ М.Р.7</t>
  </si>
  <si>
    <t>Припинення газопостачання на об'єкт споживача шляхом перекриття вимикаючого пристрою з встановленням інвентарної заглушки та опломбуванням</t>
  </si>
  <si>
    <t>Вартість послуги  без ПДВ, грн</t>
  </si>
  <si>
    <t>Припинення газопостачання на об'єкт споживача шляхом перекриття вимикаючого пристрою з встановленням інвентарної заглушки та опломбуванням (крану діаметром до 50 мм) нормальні умови</t>
  </si>
  <si>
    <t>Слюсар з експлуатації та ремонту газового устаткування 
4 розр.-1 люд.;               3 розр.-1 люд. майстер-1 люд.</t>
  </si>
  <si>
    <t>Це ж,  (діаметр газопроводу Д 65-150 мм) нормальні умови</t>
  </si>
  <si>
    <t>Це ж,  (діаметр газопроводу Д 200-300 мм) нормальні умови</t>
  </si>
  <si>
    <t>Це ж, (діаметр газопроводу Д 350-500 мм)  нормальні умови</t>
  </si>
  <si>
    <t>Це ж,  (діаметр газопроводу Д  більше 500 мм) нормальні умови</t>
  </si>
  <si>
    <t>КАЛЬКУЛЯЦІЯ М.Р.6.1</t>
  </si>
  <si>
    <t xml:space="preserve">Відновлення газопостачання на об'єкт споживача шляхом відкриття вимикаючого пристрою та зняття пломби
 </t>
  </si>
  <si>
    <t>Відновлення газопостачання на об'єкт споживача шляхом відкриття вимикаючого пристрою та зняття пломби (крану діаметром до 50 мм), нормальні умови</t>
  </si>
  <si>
    <t>Слюсар з експлуатації та ремонту газового устаткування 
4 розр.-1 люд.;                3 розр.-1 люд.   майстер-1 люд.</t>
  </si>
  <si>
    <t>Це ж, (крану діаметром 65-150 мм) нормальні умови</t>
  </si>
  <si>
    <t>Це ж, (крану діаметром 200-300 мм) нормальні умови</t>
  </si>
  <si>
    <t>КАЛЬКУЛЯЦІЯ М.Р.7.1</t>
  </si>
  <si>
    <t>Відновлення газопостачання на об'єкт споживача шляхом відкриття вимикаючого пристрою, зняття інвентарної заглушки та розпломбування</t>
  </si>
  <si>
    <t>Відновлення газопостачання на об'єкт споживача шляхом відкриття вимикаючого пристрою, зняття інвентарної заглушки та розпломбування (крану діаметром до 50 мм) нормальні умови</t>
  </si>
  <si>
    <t>Слюсар з експлуатації та ремонту газового устаткування 
4 розр.-1 люд.;                 3 розр.-1 люд.                майстер-1 люд.</t>
  </si>
  <si>
    <t>Це ж в колодязі</t>
  </si>
  <si>
    <t>Це ж, (діаметр газопроводу Д 65-150 мм) нормальні умови</t>
  </si>
  <si>
    <t>Це ж, (діаметр газопроводу Д 200 - 300 мм) нормальні умови</t>
  </si>
  <si>
    <t>Це ж, (діаметр газопроводу Д 350 - 500 мм) нормальні умови</t>
  </si>
  <si>
    <t>Це ж, (діаметр газопроводу Д  більше 500 мм) нормальні умови</t>
  </si>
  <si>
    <t>КАЛЬКУЛЯЦІЯ М.Р.8</t>
  </si>
  <si>
    <t>Слюсар з експлуатації та ремонту газового устаткування
3 розр.–1 люд.; слюсар з експлуатації та ремонту газового устаткування
2 розр. - 1 люд.</t>
  </si>
  <si>
    <t xml:space="preserve">Це ж, у разі повторного обслуговування місця розкопки </t>
  </si>
  <si>
    <t xml:space="preserve">КАЛЬКУЛЯЦІЯ </t>
  </si>
  <si>
    <t>вартості робіт з гідравлики (опрацювання виконавчо-технічної документації та схем підключення)</t>
  </si>
  <si>
    <t>Вводиться в дію з 01.10.2023 року</t>
  </si>
  <si>
    <t>Основна  зарплата</t>
  </si>
  <si>
    <t>Наказ №Но-27 від 02.10.2023 р.</t>
  </si>
  <si>
    <t>Провідний інженер ВТУ -                1 люд.</t>
  </si>
  <si>
    <t>ЗАТВЕРДЖУЮ</t>
  </si>
  <si>
    <t>Голова Правління АТ «Дніпропетровськгаз»</t>
  </si>
  <si>
    <t xml:space="preserve"> І. Є. Вакуленко</t>
  </si>
  <si>
    <t>договірної ціни на врізки (приєднання) у діючі газопроводи, відключення та встановлення заглушки на діючому газопроводі, 
обрізку діючого внутрішнього газопроводу та пуск газу у мережу</t>
  </si>
  <si>
    <t>Прямі витрати</t>
  </si>
  <si>
    <t xml:space="preserve">Врізка у діючу внутрішню мережу: </t>
  </si>
  <si>
    <t xml:space="preserve">Врізка штуцером під газом у діючі мережі низького тиску: </t>
  </si>
  <si>
    <t xml:space="preserve">Врізка штуцером у діючі мережі низького тиску під газом зі зниженням тиску: </t>
  </si>
  <si>
    <t xml:space="preserve">Врізка муфтою у діючі мережі низького тиску під газом зі зниженням тиску діаметром: </t>
  </si>
  <si>
    <t xml:space="preserve">Врізка (встановлення) поліетиленових трійників: </t>
  </si>
  <si>
    <t xml:space="preserve"> Обрізка діючого внутрішнього газопроводу: </t>
  </si>
  <si>
    <t>Директор з капітального будівництва</t>
  </si>
  <si>
    <t>М. О. Бойко</t>
  </si>
  <si>
    <t>Начальник ФЕВ</t>
  </si>
  <si>
    <t>Вик. Гольцева Л. А.</t>
  </si>
  <si>
    <t>Тел. 790-42-63</t>
  </si>
  <si>
    <t>Голова Правління ПАТ «Дніпропетровськгаз»</t>
  </si>
  <si>
    <t>А. В. Шаповалов</t>
  </si>
  <si>
    <t>Вводиться з 01.08.2020</t>
  </si>
  <si>
    <t>О. Є. Чорноморченко</t>
  </si>
  <si>
    <t>вик. Гольцева Л. А.</t>
  </si>
  <si>
    <t>тел. 790-42-63</t>
  </si>
  <si>
    <t>ПОГОДЖЕНО</t>
  </si>
  <si>
    <t>Директор фінансовий</t>
  </si>
  <si>
    <t xml:space="preserve">  Голова Правління
ПАТ "Дніпропетровськгаз"</t>
  </si>
  <si>
    <t>І. О. Калягіна</t>
  </si>
  <si>
    <t>І. Є. Вакуленко</t>
  </si>
  <si>
    <t>РОЗРАХУНОК    (М. Р. 5)</t>
  </si>
  <si>
    <t>договірної ціни на врізки (приєднання) у діючі газопроводи, відключення та встановлення заглушки, обрізку діючого внутрішнього газопроводу та пуск газу</t>
  </si>
  <si>
    <t>Вводиться в дію з "01" червня 2018р.</t>
  </si>
  <si>
    <t>№</t>
  </si>
  <si>
    <t>Обгрунтування</t>
  </si>
  <si>
    <t>Норма часу</t>
  </si>
  <si>
    <t xml:space="preserve"> Заробітна плата прямих витрат</t>
  </si>
  <si>
    <t>Рентабель-ність    (прибуток)</t>
  </si>
  <si>
    <t>Вартість послуги без ПДВ,
грн</t>
  </si>
  <si>
    <t>Вартість послуги з ПДВ,
грн</t>
  </si>
  <si>
    <r>
      <t>-</t>
    </r>
    <r>
      <rPr>
        <sz val="7"/>
        <rFont val="Times New Roman"/>
        <family val="1"/>
        <charset val="204"/>
      </rPr>
      <t xml:space="preserve">          </t>
    </r>
    <r>
      <rPr>
        <sz val="10"/>
        <rFont val="Times New Roman"/>
        <family val="1"/>
        <charset val="204"/>
      </rPr>
      <t>діаметром до 32 мм</t>
    </r>
  </si>
  <si>
    <r>
      <t>-</t>
    </r>
    <r>
      <rPr>
        <sz val="7"/>
        <rFont val="Times New Roman"/>
        <family val="1"/>
        <charset val="204"/>
      </rPr>
      <t xml:space="preserve">          </t>
    </r>
    <r>
      <rPr>
        <sz val="10"/>
        <rFont val="Times New Roman"/>
        <family val="1"/>
        <charset val="204"/>
      </rPr>
      <t>діаметром до 38 мм</t>
    </r>
  </si>
  <si>
    <r>
      <t>-</t>
    </r>
    <r>
      <rPr>
        <sz val="7"/>
        <rFont val="Times New Roman"/>
        <family val="1"/>
        <charset val="204"/>
      </rPr>
      <t xml:space="preserve">          </t>
    </r>
    <r>
      <rPr>
        <sz val="10"/>
        <rFont val="Times New Roman"/>
        <family val="1"/>
        <charset val="204"/>
      </rPr>
      <t>діаметром до 80 мм</t>
    </r>
  </si>
  <si>
    <r>
      <t>-</t>
    </r>
    <r>
      <rPr>
        <sz val="7"/>
        <rFont val="Times New Roman"/>
        <family val="1"/>
        <charset val="204"/>
      </rPr>
      <t xml:space="preserve">          </t>
    </r>
    <r>
      <rPr>
        <sz val="10"/>
        <rFont val="Times New Roman"/>
        <family val="1"/>
        <charset val="204"/>
      </rPr>
      <t>діаметром до 100 мм</t>
    </r>
  </si>
  <si>
    <t xml:space="preserve"> Врізка штуцером під газом у діючі мережі низького тиску: </t>
  </si>
  <si>
    <r>
      <t>-</t>
    </r>
    <r>
      <rPr>
        <sz val="7"/>
        <rFont val="Times New Roman"/>
        <family val="1"/>
        <charset val="204"/>
      </rPr>
      <t xml:space="preserve">          </t>
    </r>
    <r>
      <rPr>
        <sz val="10"/>
        <rFont val="Times New Roman"/>
        <family val="1"/>
        <charset val="204"/>
      </rPr>
      <t>діаметром 25 мм</t>
    </r>
  </si>
  <si>
    <r>
      <t>-</t>
    </r>
    <r>
      <rPr>
        <sz val="7"/>
        <rFont val="Times New Roman"/>
        <family val="1"/>
        <charset val="204"/>
      </rPr>
      <t xml:space="preserve">          </t>
    </r>
    <r>
      <rPr>
        <sz val="10"/>
        <rFont val="Times New Roman"/>
        <family val="1"/>
        <charset val="204"/>
      </rPr>
      <t>діаметром 32 мм</t>
    </r>
  </si>
  <si>
    <r>
      <t>-</t>
    </r>
    <r>
      <rPr>
        <sz val="7"/>
        <rFont val="Times New Roman"/>
        <family val="1"/>
        <charset val="204"/>
      </rPr>
      <t xml:space="preserve">          </t>
    </r>
    <r>
      <rPr>
        <sz val="10"/>
        <rFont val="Times New Roman"/>
        <family val="1"/>
        <charset val="204"/>
      </rPr>
      <t>діаметром 40 мм</t>
    </r>
  </si>
  <si>
    <r>
      <t>-</t>
    </r>
    <r>
      <rPr>
        <sz val="7"/>
        <rFont val="Times New Roman"/>
        <family val="1"/>
        <charset val="204"/>
      </rPr>
      <t xml:space="preserve">          </t>
    </r>
    <r>
      <rPr>
        <sz val="10"/>
        <rFont val="Times New Roman"/>
        <family val="1"/>
        <charset val="204"/>
      </rPr>
      <t>діаметром 50 мм</t>
    </r>
  </si>
  <si>
    <r>
      <t>-</t>
    </r>
    <r>
      <rPr>
        <sz val="7"/>
        <rFont val="Times New Roman"/>
        <family val="1"/>
        <charset val="204"/>
      </rPr>
      <t xml:space="preserve">          </t>
    </r>
    <r>
      <rPr>
        <sz val="10"/>
        <rFont val="Times New Roman"/>
        <family val="1"/>
        <charset val="204"/>
      </rPr>
      <t>діаметром 70 мм</t>
    </r>
  </si>
  <si>
    <r>
      <t>-</t>
    </r>
    <r>
      <rPr>
        <sz val="7"/>
        <rFont val="Times New Roman"/>
        <family val="1"/>
        <charset val="204"/>
      </rPr>
      <t xml:space="preserve">          </t>
    </r>
    <r>
      <rPr>
        <sz val="10"/>
        <rFont val="Times New Roman"/>
        <family val="1"/>
        <charset val="204"/>
      </rPr>
      <t>діаметром 80 мм</t>
    </r>
  </si>
  <si>
    <r>
      <t>-</t>
    </r>
    <r>
      <rPr>
        <sz val="7"/>
        <rFont val="Times New Roman"/>
        <family val="1"/>
        <charset val="204"/>
      </rPr>
      <t xml:space="preserve">          </t>
    </r>
    <r>
      <rPr>
        <sz val="10"/>
        <rFont val="Times New Roman"/>
        <family val="1"/>
        <charset val="204"/>
      </rPr>
      <t>діаметром 100 мм</t>
    </r>
  </si>
  <si>
    <r>
      <t>-</t>
    </r>
    <r>
      <rPr>
        <sz val="7"/>
        <rFont val="Times New Roman"/>
        <family val="1"/>
        <charset val="204"/>
      </rPr>
      <t xml:space="preserve">          </t>
    </r>
    <r>
      <rPr>
        <sz val="10"/>
        <rFont val="Times New Roman"/>
        <family val="1"/>
        <charset val="204"/>
      </rPr>
      <t>діаметром до 70 мм</t>
    </r>
  </si>
  <si>
    <r>
      <t>-</t>
    </r>
    <r>
      <rPr>
        <sz val="7"/>
        <rFont val="Times New Roman"/>
        <family val="1"/>
        <charset val="204"/>
      </rPr>
      <t xml:space="preserve">          </t>
    </r>
    <r>
      <rPr>
        <sz val="10"/>
        <rFont val="Times New Roman"/>
        <family val="1"/>
        <charset val="204"/>
      </rPr>
      <t>діаметром 125 мм</t>
    </r>
  </si>
  <si>
    <r>
      <t>-</t>
    </r>
    <r>
      <rPr>
        <sz val="7"/>
        <rFont val="Times New Roman"/>
        <family val="1"/>
        <charset val="204"/>
      </rPr>
      <t xml:space="preserve">          </t>
    </r>
    <r>
      <rPr>
        <sz val="10"/>
        <rFont val="Times New Roman"/>
        <family val="1"/>
        <charset val="204"/>
      </rPr>
      <t>діаметром 150 мм</t>
    </r>
  </si>
  <si>
    <r>
      <t>-</t>
    </r>
    <r>
      <rPr>
        <sz val="7"/>
        <rFont val="Times New Roman"/>
        <family val="1"/>
        <charset val="204"/>
      </rPr>
      <t xml:space="preserve">          </t>
    </r>
    <r>
      <rPr>
        <sz val="10"/>
        <rFont val="Times New Roman"/>
        <family val="1"/>
        <charset val="204"/>
      </rPr>
      <t>діаметром 200 мм</t>
    </r>
  </si>
  <si>
    <t>-      діаметром 250 мм</t>
  </si>
  <si>
    <t>-      діаметром 300 мм</t>
  </si>
  <si>
    <t>-      діаметром 400 мм</t>
  </si>
  <si>
    <t>-      діаметром 500 мм</t>
  </si>
  <si>
    <t>-      діаметром 600 мм</t>
  </si>
  <si>
    <t>-      діаметром 700 мм</t>
  </si>
  <si>
    <r>
      <t>-</t>
    </r>
    <r>
      <rPr>
        <sz val="7"/>
        <rFont val="Times New Roman"/>
        <family val="1"/>
        <charset val="204"/>
      </rPr>
      <t xml:space="preserve">          </t>
    </r>
    <r>
      <rPr>
        <sz val="10"/>
        <rFont val="Times New Roman"/>
        <family val="1"/>
        <charset val="204"/>
      </rPr>
      <t>діаметром до 75 мм</t>
    </r>
  </si>
  <si>
    <t>-        діаметром 250 мм</t>
  </si>
  <si>
    <t>-        діаметром 300 мм</t>
  </si>
  <si>
    <t>-        діаметром 500 мм</t>
  </si>
  <si>
    <t>-        діаметром 700 мм</t>
  </si>
  <si>
    <r>
      <t>-</t>
    </r>
    <r>
      <rPr>
        <sz val="7"/>
        <rFont val="Times New Roman"/>
        <family val="1"/>
        <charset val="204"/>
      </rPr>
      <t xml:space="preserve">          </t>
    </r>
    <r>
      <rPr>
        <sz val="10"/>
        <rFont val="Times New Roman"/>
        <family val="1"/>
        <charset val="204"/>
      </rPr>
      <t>діаметром до 110 мм</t>
    </r>
  </si>
  <si>
    <r>
      <t>-</t>
    </r>
    <r>
      <rPr>
        <sz val="7"/>
        <rFont val="Times New Roman"/>
        <family val="1"/>
        <charset val="204"/>
      </rPr>
      <t xml:space="preserve">          </t>
    </r>
    <r>
      <rPr>
        <sz val="10"/>
        <rFont val="Times New Roman"/>
        <family val="1"/>
        <charset val="204"/>
      </rPr>
      <t>діаметром до 160 мм</t>
    </r>
  </si>
  <si>
    <r>
      <t>-</t>
    </r>
    <r>
      <rPr>
        <sz val="7"/>
        <rFont val="Times New Roman"/>
        <family val="1"/>
        <charset val="204"/>
      </rPr>
      <t xml:space="preserve">          </t>
    </r>
    <r>
      <rPr>
        <sz val="10"/>
        <rFont val="Times New Roman"/>
        <family val="1"/>
        <charset val="204"/>
      </rPr>
      <t>діаметром до 50 мм</t>
    </r>
  </si>
  <si>
    <r>
      <t>-</t>
    </r>
    <r>
      <rPr>
        <sz val="7"/>
        <rFont val="Times New Roman"/>
        <family val="1"/>
        <charset val="204"/>
      </rPr>
      <t xml:space="preserve">          </t>
    </r>
    <r>
      <rPr>
        <sz val="10"/>
        <rFont val="Times New Roman"/>
        <family val="1"/>
        <charset val="204"/>
      </rPr>
      <t>діаметром 63-75 мм</t>
    </r>
  </si>
  <si>
    <r>
      <t>-</t>
    </r>
    <r>
      <rPr>
        <sz val="7"/>
        <rFont val="Times New Roman"/>
        <family val="1"/>
        <charset val="204"/>
      </rPr>
      <t xml:space="preserve">          </t>
    </r>
    <r>
      <rPr>
        <sz val="10"/>
        <rFont val="Times New Roman"/>
        <family val="1"/>
        <charset val="204"/>
      </rPr>
      <t>діаметром 250 мм</t>
    </r>
  </si>
  <si>
    <r>
      <t>-</t>
    </r>
    <r>
      <rPr>
        <sz val="7"/>
        <rFont val="Times New Roman"/>
        <family val="1"/>
        <charset val="204"/>
      </rPr>
      <t xml:space="preserve">          </t>
    </r>
    <r>
      <rPr>
        <sz val="10"/>
        <rFont val="Times New Roman"/>
        <family val="1"/>
        <charset val="204"/>
      </rPr>
      <t>діаметром 300 мм</t>
    </r>
  </si>
  <si>
    <r>
      <t>-</t>
    </r>
    <r>
      <rPr>
        <sz val="7"/>
        <rFont val="Times New Roman"/>
        <family val="1"/>
        <charset val="204"/>
      </rPr>
      <t xml:space="preserve">          </t>
    </r>
    <r>
      <rPr>
        <sz val="10"/>
        <rFont val="Times New Roman"/>
        <family val="1"/>
        <charset val="204"/>
      </rPr>
      <t>діаметром 350 мм</t>
    </r>
  </si>
  <si>
    <r>
      <t>-</t>
    </r>
    <r>
      <rPr>
        <sz val="7"/>
        <rFont val="Times New Roman"/>
        <family val="1"/>
        <charset val="204"/>
      </rPr>
      <t xml:space="preserve">          </t>
    </r>
    <r>
      <rPr>
        <sz val="10"/>
        <rFont val="Times New Roman"/>
        <family val="1"/>
        <charset val="204"/>
      </rPr>
      <t>діаметром 400 мм</t>
    </r>
  </si>
  <si>
    <r>
      <t>-</t>
    </r>
    <r>
      <rPr>
        <sz val="7"/>
        <rFont val="Times New Roman"/>
        <family val="1"/>
        <charset val="204"/>
      </rPr>
      <t xml:space="preserve">          </t>
    </r>
    <r>
      <rPr>
        <sz val="10"/>
        <rFont val="Times New Roman"/>
        <family val="1"/>
        <charset val="204"/>
      </rPr>
      <t>діаметром 500 мм</t>
    </r>
  </si>
  <si>
    <t xml:space="preserve">                                                 Начальник ВЕП                                                                                                                                              Г. В. Улько</t>
  </si>
  <si>
    <t>Вик.  Богданова Л. Л.</t>
  </si>
  <si>
    <t>тел. 790-42-80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</si>
</sst>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_ ;[Red]\-#,##0.00\ "/>
    <numFmt numFmtId="166" formatCode="#,##0.00_ ;\-#,##0.00\ "/>
    <numFmt numFmtId="167" formatCode="0.0"/>
    <numFmt numFmtId="168" formatCode="0.0%"/>
    <numFmt numFmtId="169" formatCode="0.0000"/>
  </numFmts>
  <fonts count="82">
    <font>
      <sz val="10"/>
      <name val="Arial Cyr"/>
      <charset val="204"/>
    </font>
    <font>
      <sz val="11"/>
      <color theme="1"/>
      <name val="Calibri"/>
      <family val="2"/>
      <charset val="204"/>
      <scheme val="minor"/>
    </font>
    <font>
      <sz val="10"/>
      <name val="Arial Cyr"/>
      <charset val="204"/>
    </font>
    <font>
      <sz val="11"/>
      <color theme="1"/>
      <name val="Calibri"/>
      <family val="2"/>
      <charset val="204"/>
      <scheme val="minor"/>
    </font>
    <font>
      <sz val="10"/>
      <name val="Arial Cyr"/>
      <family val="2"/>
      <charset val="204"/>
    </font>
    <font>
      <sz val="11"/>
      <color theme="1"/>
      <name val="Calibri"/>
      <family val="2"/>
      <scheme val="minor"/>
    </font>
    <font>
      <sz val="11"/>
      <color theme="1"/>
      <name val="Arial"/>
      <family val="2"/>
      <charset val="204"/>
    </font>
    <font>
      <sz val="10"/>
      <name val="Arial"/>
      <family val="2"/>
      <charset val="204"/>
    </font>
    <font>
      <sz val="8"/>
      <name val="Arial"/>
      <family val="2"/>
      <charset val="204"/>
    </font>
    <font>
      <sz val="11"/>
      <color rgb="FF000000"/>
      <name val="Calibri"/>
      <family val="2"/>
      <charset val="204"/>
    </font>
    <font>
      <sz val="12"/>
      <name val="Arial Cyr"/>
      <charset val="204"/>
    </font>
    <font>
      <b/>
      <i/>
      <sz val="8"/>
      <name val="Arial Cyr"/>
      <charset val="204"/>
    </font>
    <font>
      <b/>
      <sz val="8"/>
      <name val="Arial"/>
      <family val="2"/>
      <charset val="204"/>
    </font>
    <font>
      <b/>
      <sz val="12"/>
      <name val="Times New Roman"/>
      <family val="1"/>
      <charset val="204"/>
    </font>
    <font>
      <sz val="12"/>
      <name val="Times New Roman"/>
      <family val="1"/>
      <charset val="204"/>
    </font>
    <font>
      <b/>
      <sz val="12"/>
      <name val="Arial Cyr"/>
      <family val="2"/>
      <charset val="204"/>
    </font>
    <font>
      <sz val="12"/>
      <color theme="0"/>
      <name val="Arial Cyr"/>
      <charset val="204"/>
    </font>
    <font>
      <b/>
      <sz val="12"/>
      <color theme="0"/>
      <name val="Arial Cyr"/>
      <charset val="204"/>
    </font>
    <font>
      <b/>
      <sz val="10"/>
      <name val="Times New Roman"/>
      <family val="1"/>
      <charset val="204"/>
    </font>
    <font>
      <b/>
      <sz val="9"/>
      <name val="Times New Roman"/>
      <family val="1"/>
      <charset val="204"/>
    </font>
    <font>
      <b/>
      <sz val="14"/>
      <name val="Times New Roman"/>
      <family val="1"/>
      <charset val="204"/>
    </font>
    <font>
      <b/>
      <sz val="14"/>
      <name val="Arial Cyr"/>
      <family val="2"/>
      <charset val="204"/>
    </font>
    <font>
      <sz val="9"/>
      <name val="Times New Roman"/>
      <family val="1"/>
      <charset val="204"/>
    </font>
    <font>
      <b/>
      <sz val="8"/>
      <name val="Times New Roman"/>
      <family val="1"/>
      <charset val="204"/>
    </font>
    <font>
      <sz val="10"/>
      <name val="Times New Roman"/>
      <family val="1"/>
      <charset val="204"/>
    </font>
    <font>
      <sz val="8"/>
      <name val="Times New Roman"/>
      <family val="1"/>
      <charset val="204"/>
    </font>
    <font>
      <sz val="7"/>
      <name val="Times New Roman"/>
      <family val="1"/>
      <charset val="204"/>
    </font>
    <font>
      <b/>
      <sz val="12"/>
      <name val="Arial Cyr"/>
      <charset val="204"/>
    </font>
    <font>
      <sz val="12"/>
      <name val="Arial Cyr"/>
      <family val="2"/>
      <charset val="204"/>
    </font>
    <font>
      <b/>
      <i/>
      <sz val="9"/>
      <name val="Arial Cyr"/>
      <charset val="204"/>
    </font>
    <font>
      <b/>
      <sz val="11"/>
      <name val="Times New Roman"/>
      <family val="1"/>
      <charset val="204"/>
    </font>
    <font>
      <sz val="9"/>
      <name val="Arial Cyr"/>
      <family val="2"/>
      <charset val="204"/>
    </font>
    <font>
      <b/>
      <i/>
      <sz val="9"/>
      <name val="Times New Roman"/>
      <family val="1"/>
      <charset val="204"/>
    </font>
    <font>
      <sz val="8"/>
      <name val="Arial Cyr"/>
      <family val="2"/>
      <charset val="204"/>
    </font>
    <font>
      <sz val="12"/>
      <color theme="0"/>
      <name val="Times New Roman"/>
      <family val="1"/>
      <charset val="204"/>
    </font>
    <font>
      <sz val="8"/>
      <color rgb="FF212121"/>
      <name val="Arial"/>
      <family val="2"/>
      <charset val="204"/>
    </font>
    <font>
      <sz val="8"/>
      <color rgb="FFFF0000"/>
      <name val="Arial"/>
      <family val="2"/>
      <charset val="204"/>
    </font>
    <font>
      <sz val="9"/>
      <name val="Arial"/>
      <family val="2"/>
      <charset val="204"/>
    </font>
    <font>
      <b/>
      <sz val="14"/>
      <name val="Arial"/>
      <family val="2"/>
      <charset val="204"/>
    </font>
    <font>
      <b/>
      <sz val="11"/>
      <name val="Arial"/>
      <family val="2"/>
      <charset val="204"/>
    </font>
    <font>
      <sz val="11"/>
      <name val="Arial"/>
      <family val="2"/>
      <charset val="204"/>
    </font>
    <font>
      <b/>
      <i/>
      <sz val="8"/>
      <name val="Arial"/>
      <family val="2"/>
      <charset val="204"/>
    </font>
    <font>
      <sz val="9"/>
      <color rgb="FF212121"/>
      <name val="Arial"/>
      <family val="2"/>
      <charset val="204"/>
    </font>
    <font>
      <sz val="12"/>
      <name val="Arial"/>
      <family val="2"/>
      <charset val="204"/>
    </font>
    <font>
      <b/>
      <i/>
      <sz val="9"/>
      <name val="Arial"/>
      <family val="2"/>
      <charset val="204"/>
    </font>
    <font>
      <sz val="14"/>
      <name val="Arial"/>
      <family val="2"/>
      <charset val="204"/>
    </font>
    <font>
      <b/>
      <sz val="12"/>
      <name val="Arial"/>
      <family val="2"/>
      <charset val="204"/>
    </font>
    <font>
      <b/>
      <sz val="10"/>
      <name val="Arial"/>
      <family val="2"/>
      <charset val="204"/>
    </font>
    <font>
      <b/>
      <sz val="9"/>
      <name val="Arial"/>
      <family val="2"/>
      <charset val="204"/>
    </font>
    <font>
      <b/>
      <sz val="16"/>
      <name val="Arial"/>
      <family val="2"/>
      <charset val="204"/>
    </font>
    <font>
      <b/>
      <i/>
      <sz val="10"/>
      <name val="Arial"/>
      <family val="2"/>
      <charset val="204"/>
    </font>
    <font>
      <b/>
      <sz val="9"/>
      <color indexed="81"/>
      <name val="Tahoma"/>
      <family val="2"/>
      <charset val="204"/>
    </font>
    <font>
      <sz val="9"/>
      <color indexed="81"/>
      <name val="Tahoma"/>
      <family val="2"/>
      <charset val="204"/>
    </font>
    <font>
      <sz val="11"/>
      <name val="Arial Cyr"/>
      <charset val="204"/>
    </font>
    <font>
      <sz val="12"/>
      <color theme="1"/>
      <name val="Arial"/>
      <family val="2"/>
      <charset val="204"/>
    </font>
    <font>
      <sz val="14"/>
      <color theme="1"/>
      <name val="Arial"/>
      <family val="2"/>
      <charset val="204"/>
    </font>
    <font>
      <b/>
      <sz val="14"/>
      <color theme="1"/>
      <name val="Arial"/>
      <family val="2"/>
      <charset val="204"/>
    </font>
    <font>
      <b/>
      <sz val="10"/>
      <color theme="1"/>
      <name val="Arial"/>
      <family val="2"/>
      <charset val="204"/>
    </font>
    <font>
      <b/>
      <sz val="12"/>
      <color theme="1"/>
      <name val="Arial"/>
      <family val="2"/>
      <charset val="204"/>
    </font>
    <font>
      <b/>
      <i/>
      <sz val="11"/>
      <name val="Arial"/>
      <family val="2"/>
      <charset val="204"/>
    </font>
    <font>
      <b/>
      <sz val="11"/>
      <color theme="1"/>
      <name val="Arial"/>
      <family val="2"/>
      <charset val="204"/>
    </font>
    <font>
      <sz val="11"/>
      <color theme="1"/>
      <name val="Arial Cyr"/>
      <charset val="204"/>
    </font>
    <font>
      <b/>
      <i/>
      <sz val="11"/>
      <color theme="1"/>
      <name val="Arial"/>
      <family val="2"/>
      <charset val="204"/>
    </font>
    <font>
      <sz val="14"/>
      <color rgb="FFFF0000"/>
      <name val="Arial"/>
      <family val="2"/>
      <charset val="204"/>
    </font>
    <font>
      <b/>
      <sz val="10"/>
      <name val="Arial Cyr"/>
      <charset val="204"/>
    </font>
    <font>
      <b/>
      <i/>
      <sz val="10"/>
      <name val="Arial Cyr"/>
      <charset val="204"/>
    </font>
    <font>
      <b/>
      <i/>
      <sz val="9"/>
      <color theme="1"/>
      <name val="Arial"/>
      <family val="2"/>
      <charset val="204"/>
    </font>
    <font>
      <b/>
      <i/>
      <sz val="9"/>
      <color theme="1"/>
      <name val="Arial Cyr"/>
      <charset val="204"/>
    </font>
    <font>
      <sz val="12"/>
      <color theme="1"/>
      <name val="Arial Cyr"/>
      <charset val="204"/>
    </font>
    <font>
      <sz val="9"/>
      <color rgb="FF000000"/>
      <name val="Arial"/>
      <family val="2"/>
      <charset val="204"/>
    </font>
    <font>
      <sz val="9"/>
      <color rgb="FF1D1D1B"/>
      <name val="Arial"/>
      <family val="2"/>
      <charset val="204"/>
    </font>
    <font>
      <b/>
      <sz val="9"/>
      <color rgb="FF000000"/>
      <name val="Arial"/>
      <family val="2"/>
      <charset val="204"/>
    </font>
    <font>
      <b/>
      <sz val="9"/>
      <color rgb="FF1D1D1B"/>
      <name val="Arial"/>
      <family val="2"/>
      <charset val="204"/>
    </font>
    <font>
      <b/>
      <i/>
      <sz val="10"/>
      <color theme="1"/>
      <name val="Arial"/>
      <family val="2"/>
      <charset val="204"/>
    </font>
    <font>
      <sz val="12"/>
      <color theme="1"/>
      <name val="Times New Roman"/>
      <family val="1"/>
      <charset val="204"/>
    </font>
    <font>
      <b/>
      <sz val="18"/>
      <name val="Arial"/>
      <family val="2"/>
      <charset val="204"/>
    </font>
    <font>
      <b/>
      <sz val="12"/>
      <color theme="1"/>
      <name val="Arial Cyr"/>
      <charset val="204"/>
    </font>
    <font>
      <sz val="10"/>
      <color theme="1"/>
      <name val="Arial"/>
      <family val="2"/>
      <charset val="204"/>
    </font>
    <font>
      <sz val="12"/>
      <color indexed="8"/>
      <name val="Arial"/>
      <family val="2"/>
      <charset val="204"/>
    </font>
    <font>
      <b/>
      <i/>
      <sz val="12"/>
      <name val="Arial"/>
      <family val="2"/>
      <charset val="204"/>
    </font>
    <font>
      <sz val="18"/>
      <name val="Arial"/>
      <family val="2"/>
      <charset val="204"/>
    </font>
    <font>
      <sz val="18"/>
      <color theme="1"/>
      <name val="Calibri"/>
      <family val="2"/>
      <charset val="204"/>
      <scheme val="minor"/>
    </font>
  </fonts>
  <fills count="2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85D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rgb="FFFFC000"/>
        <bgColor indexed="64"/>
      </patternFill>
    </fill>
    <fill>
      <patternFill patternType="solid">
        <fgColor rgb="FFB2B2B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indexed="9"/>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s>
  <cellStyleXfs count="22">
    <xf numFmtId="0" fontId="0" fillId="0" borderId="0"/>
    <xf numFmtId="0" fontId="3" fillId="0" borderId="0"/>
    <xf numFmtId="0" fontId="4" fillId="0" borderId="0"/>
    <xf numFmtId="0" fontId="4" fillId="0" borderId="0"/>
    <xf numFmtId="0" fontId="4" fillId="0" borderId="0"/>
    <xf numFmtId="0" fontId="5" fillId="0" borderId="0"/>
    <xf numFmtId="0" fontId="3" fillId="0" borderId="0"/>
    <xf numFmtId="0" fontId="2" fillId="0" borderId="0"/>
    <xf numFmtId="0" fontId="3" fillId="0" borderId="0"/>
    <xf numFmtId="0" fontId="2" fillId="0" borderId="0"/>
    <xf numFmtId="0" fontId="6" fillId="0" borderId="0"/>
    <xf numFmtId="0" fontId="7" fillId="0" borderId="0"/>
    <xf numFmtId="0" fontId="8" fillId="0" borderId="0">
      <alignment horizontal="left"/>
    </xf>
    <xf numFmtId="0" fontId="2" fillId="0" borderId="0"/>
    <xf numFmtId="0" fontId="4" fillId="0" borderId="0"/>
    <xf numFmtId="0" fontId="9" fillId="0" borderId="0"/>
    <xf numFmtId="0" fontId="10" fillId="0" borderId="0"/>
    <xf numFmtId="0" fontId="3" fillId="0" borderId="0"/>
    <xf numFmtId="9" fontId="10"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cellStyleXfs>
  <cellXfs count="697">
    <xf numFmtId="0" fontId="0" fillId="0" borderId="0" xfId="0"/>
    <xf numFmtId="1" fontId="13" fillId="0" borderId="0" xfId="0" applyNumberFormat="1" applyFont="1" applyAlignment="1">
      <alignment wrapText="1"/>
    </xf>
    <xf numFmtId="1" fontId="13" fillId="0" borderId="0" xfId="0" applyNumberFormat="1" applyFont="1" applyAlignment="1">
      <alignment horizontal="center" wrapText="1"/>
    </xf>
    <xf numFmtId="164" fontId="14" fillId="0" borderId="0" xfId="0" applyNumberFormat="1" applyFont="1"/>
    <xf numFmtId="2" fontId="14" fillId="0" borderId="0" xfId="0" applyNumberFormat="1" applyFont="1"/>
    <xf numFmtId="1" fontId="15" fillId="0" borderId="0" xfId="0" applyNumberFormat="1" applyFont="1" applyAlignment="1">
      <alignment wrapText="1"/>
    </xf>
    <xf numFmtId="0" fontId="16" fillId="0" borderId="0" xfId="0" applyFont="1"/>
    <xf numFmtId="1" fontId="13" fillId="0" borderId="0" xfId="0" applyNumberFormat="1" applyFont="1" applyAlignment="1">
      <alignment vertical="center" wrapText="1"/>
    </xf>
    <xf numFmtId="1" fontId="13" fillId="0" borderId="0" xfId="0" applyNumberFormat="1" applyFont="1" applyAlignment="1">
      <alignment horizontal="left" wrapText="1"/>
    </xf>
    <xf numFmtId="0" fontId="14" fillId="0" borderId="0" xfId="0" applyFont="1"/>
    <xf numFmtId="2" fontId="14" fillId="0" borderId="0" xfId="0" applyNumberFormat="1" applyFont="1" applyAlignment="1">
      <alignment horizontal="left" wrapText="1"/>
    </xf>
    <xf numFmtId="0" fontId="0" fillId="0" borderId="0" xfId="0" applyAlignment="1">
      <alignment horizontal="left" wrapText="1"/>
    </xf>
    <xf numFmtId="1" fontId="15" fillId="0" borderId="0" xfId="0" applyNumberFormat="1" applyFont="1" applyAlignment="1">
      <alignment vertical="center" wrapText="1"/>
    </xf>
    <xf numFmtId="1" fontId="17" fillId="0" borderId="0" xfId="0" applyNumberFormat="1" applyFont="1" applyAlignment="1">
      <alignment vertical="top" wrapText="1"/>
    </xf>
    <xf numFmtId="1" fontId="13" fillId="0" borderId="0" xfId="0" applyNumberFormat="1" applyFont="1" applyAlignment="1">
      <alignment horizontal="right" wrapText="1"/>
    </xf>
    <xf numFmtId="1" fontId="17" fillId="0" borderId="0" xfId="0" applyNumberFormat="1" applyFont="1" applyAlignment="1">
      <alignment horizontal="right" vertical="top" wrapText="1"/>
    </xf>
    <xf numFmtId="0" fontId="16" fillId="0" borderId="0" xfId="0" applyFont="1" applyAlignment="1">
      <alignment horizontal="left" wrapText="1"/>
    </xf>
    <xf numFmtId="1" fontId="18" fillId="0" borderId="0" xfId="0" applyNumberFormat="1" applyFont="1" applyAlignment="1">
      <alignment horizontal="left" wrapText="1"/>
    </xf>
    <xf numFmtId="1" fontId="18" fillId="0" borderId="0" xfId="0" applyNumberFormat="1" applyFont="1" applyAlignment="1">
      <alignment horizontal="right" wrapText="1"/>
    </xf>
    <xf numFmtId="1" fontId="19" fillId="0" borderId="0" xfId="0" applyNumberFormat="1" applyFont="1" applyAlignment="1">
      <alignment horizontal="left" wrapText="1"/>
    </xf>
    <xf numFmtId="2" fontId="21" fillId="0" borderId="0" xfId="0" applyNumberFormat="1" applyFont="1" applyAlignment="1">
      <alignment wrapText="1"/>
    </xf>
    <xf numFmtId="1" fontId="21" fillId="0" borderId="0" xfId="0" applyNumberFormat="1" applyFont="1"/>
    <xf numFmtId="0" fontId="14" fillId="0" borderId="0" xfId="0" applyFont="1" applyAlignment="1">
      <alignment horizontal="left" wrapText="1"/>
    </xf>
    <xf numFmtId="164" fontId="14" fillId="0" borderId="0" xfId="0" applyNumberFormat="1" applyFont="1" applyAlignment="1">
      <alignment horizontal="left" wrapText="1"/>
    </xf>
    <xf numFmtId="2" fontId="19" fillId="0" borderId="0" xfId="0" applyNumberFormat="1" applyFont="1" applyAlignment="1">
      <alignment horizontal="left"/>
    </xf>
    <xf numFmtId="2" fontId="0" fillId="0" borderId="0" xfId="0" applyNumberFormat="1" applyAlignment="1">
      <alignment horizontal="left" wrapText="1"/>
    </xf>
    <xf numFmtId="49" fontId="22" fillId="0" borderId="19" xfId="0" applyNumberFormat="1" applyFont="1" applyBorder="1" applyAlignment="1">
      <alignment horizontal="center" vertical="center"/>
    </xf>
    <xf numFmtId="0" fontId="23" fillId="0" borderId="26" xfId="0" applyFont="1" applyBorder="1" applyAlignment="1">
      <alignment horizontal="center" vertical="center" wrapText="1"/>
    </xf>
    <xf numFmtId="1" fontId="23" fillId="0" borderId="26" xfId="0" applyNumberFormat="1" applyFont="1" applyBorder="1" applyAlignment="1">
      <alignment horizontal="center" vertical="center" wrapText="1"/>
    </xf>
    <xf numFmtId="2" fontId="23" fillId="0" borderId="26" xfId="0" applyNumberFormat="1" applyFont="1" applyBorder="1" applyAlignment="1">
      <alignment horizontal="center" vertical="center" wrapText="1"/>
    </xf>
    <xf numFmtId="2" fontId="23" fillId="2" borderId="26" xfId="0" applyNumberFormat="1" applyFont="1" applyFill="1" applyBorder="1" applyAlignment="1">
      <alignment horizontal="center" vertical="center" wrapText="1"/>
    </xf>
    <xf numFmtId="165" fontId="19" fillId="0" borderId="26" xfId="0" applyNumberFormat="1" applyFont="1" applyBorder="1" applyAlignment="1">
      <alignment horizontal="center" vertical="center" wrapText="1"/>
    </xf>
    <xf numFmtId="165" fontId="19" fillId="0" borderId="27" xfId="0" applyNumberFormat="1" applyFont="1" applyBorder="1" applyAlignment="1">
      <alignment horizontal="center" vertical="center" wrapText="1"/>
    </xf>
    <xf numFmtId="14" fontId="0" fillId="0" borderId="0" xfId="0" applyNumberFormat="1"/>
    <xf numFmtId="49" fontId="22"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5" fillId="0" borderId="2" xfId="0" applyFont="1" applyBorder="1" applyAlignment="1">
      <alignment horizontal="center" vertical="center"/>
    </xf>
    <xf numFmtId="0" fontId="14" fillId="0" borderId="2" xfId="0" applyFont="1" applyBorder="1"/>
    <xf numFmtId="165" fontId="22" fillId="0" borderId="2" xfId="0" applyNumberFormat="1" applyFont="1" applyBorder="1" applyAlignment="1">
      <alignment vertical="center"/>
    </xf>
    <xf numFmtId="165" fontId="22" fillId="0" borderId="3" xfId="0" applyNumberFormat="1" applyFont="1" applyBorder="1"/>
    <xf numFmtId="49" fontId="22" fillId="0" borderId="4" xfId="0" applyNumberFormat="1" applyFont="1" applyBorder="1" applyAlignment="1">
      <alignment horizontal="center" vertical="center"/>
    </xf>
    <xf numFmtId="0" fontId="24" fillId="0" borderId="5" xfId="0" applyFont="1" applyBorder="1" applyAlignment="1">
      <alignment horizontal="center" vertical="center" wrapText="1"/>
    </xf>
    <xf numFmtId="0" fontId="25" fillId="0" borderId="5" xfId="0" applyFont="1" applyBorder="1" applyAlignment="1">
      <alignment horizontal="center" vertical="center"/>
    </xf>
    <xf numFmtId="2" fontId="14" fillId="0" borderId="5" xfId="0" applyNumberFormat="1" applyFont="1" applyBorder="1"/>
    <xf numFmtId="2" fontId="14" fillId="2" borderId="5" xfId="0" applyNumberFormat="1" applyFont="1" applyFill="1" applyBorder="1"/>
    <xf numFmtId="0" fontId="14" fillId="0" borderId="5" xfId="0" applyFont="1" applyBorder="1"/>
    <xf numFmtId="2" fontId="14" fillId="0" borderId="5" xfId="0" applyNumberFormat="1" applyFont="1" applyBorder="1" applyAlignment="1">
      <alignment vertical="center"/>
    </xf>
    <xf numFmtId="2" fontId="14" fillId="0" borderId="6" xfId="0" applyNumberFormat="1" applyFont="1" applyBorder="1"/>
    <xf numFmtId="2" fontId="0" fillId="0" borderId="0" xfId="0" applyNumberFormat="1"/>
    <xf numFmtId="4" fontId="0" fillId="0" borderId="0" xfId="0" applyNumberFormat="1"/>
    <xf numFmtId="4" fontId="14" fillId="0" borderId="5" xfId="0" applyNumberFormat="1" applyFont="1" applyBorder="1"/>
    <xf numFmtId="49" fontId="22" fillId="2" borderId="4" xfId="0" applyNumberFormat="1" applyFont="1" applyFill="1" applyBorder="1" applyAlignment="1">
      <alignment horizontal="center" vertical="center"/>
    </xf>
    <xf numFmtId="0" fontId="24"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14" fillId="2" borderId="5" xfId="0" applyFont="1" applyFill="1" applyBorder="1"/>
    <xf numFmtId="4" fontId="14" fillId="2" borderId="5" xfId="0" applyNumberFormat="1" applyFont="1" applyFill="1" applyBorder="1"/>
    <xf numFmtId="0" fontId="24" fillId="2" borderId="5" xfId="0" quotePrefix="1" applyFont="1" applyFill="1" applyBorder="1" applyAlignment="1">
      <alignment horizontal="center" vertical="center" wrapText="1"/>
    </xf>
    <xf numFmtId="0" fontId="14" fillId="0" borderId="5" xfId="0" applyFont="1" applyBorder="1" applyAlignment="1">
      <alignment horizontal="right" vertical="center" wrapText="1"/>
    </xf>
    <xf numFmtId="0" fontId="14" fillId="2" borderId="5" xfId="0" applyFont="1" applyFill="1" applyBorder="1" applyAlignment="1">
      <alignment horizontal="right" vertical="center" wrapText="1"/>
    </xf>
    <xf numFmtId="0" fontId="14" fillId="2" borderId="5" xfId="0" applyFont="1" applyFill="1" applyBorder="1" applyAlignment="1">
      <alignment horizontal="center" vertical="center"/>
    </xf>
    <xf numFmtId="0" fontId="27" fillId="0" borderId="0" xfId="0" applyFont="1"/>
    <xf numFmtId="0" fontId="28" fillId="0" borderId="0" xfId="0" applyFont="1"/>
    <xf numFmtId="0" fontId="29" fillId="0" borderId="0" xfId="0" applyFont="1"/>
    <xf numFmtId="49" fontId="22" fillId="0" borderId="0" xfId="0" applyNumberFormat="1" applyFont="1"/>
    <xf numFmtId="0" fontId="25" fillId="0" borderId="0" xfId="0" applyFont="1" applyAlignment="1">
      <alignment horizontal="center" vertical="center"/>
    </xf>
    <xf numFmtId="1" fontId="30" fillId="0" borderId="0" xfId="0" applyNumberFormat="1" applyFont="1"/>
    <xf numFmtId="0" fontId="13" fillId="0" borderId="0" xfId="0" applyFont="1"/>
    <xf numFmtId="2" fontId="13" fillId="0" borderId="0" xfId="0" applyNumberFormat="1" applyFont="1" applyAlignment="1">
      <alignment horizontal="left"/>
    </xf>
    <xf numFmtId="2" fontId="13" fillId="0" borderId="0" xfId="0" applyNumberFormat="1" applyFont="1"/>
    <xf numFmtId="49" fontId="30" fillId="0" borderId="0" xfId="0" applyNumberFormat="1" applyFont="1"/>
    <xf numFmtId="1" fontId="30" fillId="0" borderId="0" xfId="0" applyNumberFormat="1" applyFont="1" applyAlignment="1">
      <alignment horizontal="justify" wrapText="1"/>
    </xf>
    <xf numFmtId="1" fontId="24" fillId="0" borderId="0" xfId="0" applyNumberFormat="1" applyFont="1" applyAlignment="1">
      <alignment horizontal="justify" wrapText="1"/>
    </xf>
    <xf numFmtId="1" fontId="22" fillId="0" borderId="0" xfId="0" applyNumberFormat="1" applyFont="1" applyAlignment="1">
      <alignment wrapText="1"/>
    </xf>
    <xf numFmtId="49" fontId="31" fillId="0" borderId="0" xfId="0" applyNumberFormat="1" applyFont="1"/>
    <xf numFmtId="1" fontId="32" fillId="0" borderId="0" xfId="0" applyNumberFormat="1" applyFont="1" applyAlignment="1">
      <alignment wrapText="1"/>
    </xf>
    <xf numFmtId="1" fontId="4" fillId="0" borderId="0" xfId="0" applyNumberFormat="1" applyFont="1" applyAlignment="1">
      <alignment horizontal="justify" wrapText="1"/>
    </xf>
    <xf numFmtId="1" fontId="31" fillId="0" borderId="0" xfId="0" applyNumberFormat="1" applyFont="1" applyAlignment="1">
      <alignment horizontal="left" wrapText="1"/>
    </xf>
    <xf numFmtId="164" fontId="28" fillId="0" borderId="0" xfId="0" applyNumberFormat="1" applyFont="1"/>
    <xf numFmtId="2" fontId="28" fillId="0" borderId="0" xfId="0" applyNumberFormat="1" applyFont="1"/>
    <xf numFmtId="1" fontId="32" fillId="0" borderId="0" xfId="0" applyNumberFormat="1" applyFont="1" applyAlignment="1">
      <alignment horizontal="left" wrapText="1"/>
    </xf>
    <xf numFmtId="1" fontId="29" fillId="0" borderId="0" xfId="0" applyNumberFormat="1" applyFont="1" applyAlignment="1">
      <alignment horizontal="justify" wrapText="1"/>
    </xf>
    <xf numFmtId="1" fontId="29" fillId="0" borderId="0" xfId="0" applyNumberFormat="1" applyFont="1" applyAlignment="1">
      <alignment horizontal="left" wrapText="1"/>
    </xf>
    <xf numFmtId="164" fontId="29" fillId="0" borderId="0" xfId="0" applyNumberFormat="1" applyFont="1"/>
    <xf numFmtId="2" fontId="29" fillId="0" borderId="0" xfId="0" applyNumberFormat="1" applyFont="1"/>
    <xf numFmtId="1" fontId="11" fillId="0" borderId="0" xfId="0" applyNumberFormat="1" applyFont="1" applyAlignment="1">
      <alignment horizontal="justify" wrapText="1"/>
    </xf>
    <xf numFmtId="1" fontId="4" fillId="0" borderId="0" xfId="0" applyNumberFormat="1" applyFont="1" applyAlignment="1">
      <alignment horizontal="left" wrapText="1"/>
    </xf>
    <xf numFmtId="1" fontId="4" fillId="0" borderId="0" xfId="0" applyNumberFormat="1" applyFont="1" applyAlignment="1">
      <alignment horizontal="center" wrapText="1"/>
    </xf>
    <xf numFmtId="164" fontId="0" fillId="0" borderId="0" xfId="0" applyNumberFormat="1"/>
    <xf numFmtId="0" fontId="33" fillId="0" borderId="0" xfId="0" applyFont="1" applyAlignment="1">
      <alignment horizontal="center" vertical="center"/>
    </xf>
    <xf numFmtId="49" fontId="22" fillId="4" borderId="7" xfId="0" applyNumberFormat="1" applyFont="1" applyFill="1" applyBorder="1" applyAlignment="1">
      <alignment horizontal="center" vertical="center"/>
    </xf>
    <xf numFmtId="0" fontId="24" fillId="4" borderId="8" xfId="0" applyFont="1" applyFill="1" applyBorder="1" applyAlignment="1">
      <alignment horizontal="center" vertical="center" wrapText="1"/>
    </xf>
    <xf numFmtId="0" fontId="25" fillId="4" borderId="8" xfId="0" applyFont="1" applyFill="1" applyBorder="1" applyAlignment="1">
      <alignment horizontal="center" vertical="center"/>
    </xf>
    <xf numFmtId="2" fontId="14" fillId="4" borderId="8" xfId="0" applyNumberFormat="1" applyFont="1" applyFill="1" applyBorder="1"/>
    <xf numFmtId="0" fontId="14" fillId="4" borderId="8" xfId="0" applyFont="1" applyFill="1" applyBorder="1"/>
    <xf numFmtId="2" fontId="14" fillId="4" borderId="8" xfId="0" applyNumberFormat="1" applyFont="1" applyFill="1" applyBorder="1" applyAlignment="1">
      <alignment vertical="center"/>
    </xf>
    <xf numFmtId="2" fontId="14" fillId="4" borderId="9" xfId="0" applyNumberFormat="1" applyFont="1" applyFill="1" applyBorder="1"/>
    <xf numFmtId="165" fontId="14" fillId="0" borderId="0" xfId="0" applyNumberFormat="1" applyFont="1"/>
    <xf numFmtId="4" fontId="14" fillId="0" borderId="0" xfId="0" applyNumberFormat="1" applyFont="1"/>
    <xf numFmtId="4" fontId="34" fillId="0" borderId="0" xfId="0" applyNumberFormat="1" applyFont="1"/>
    <xf numFmtId="165" fontId="14" fillId="6" borderId="0" xfId="0" applyNumberFormat="1" applyFont="1" applyFill="1"/>
    <xf numFmtId="2" fontId="14" fillId="6" borderId="0" xfId="0" applyNumberFormat="1" applyFont="1" applyFill="1"/>
    <xf numFmtId="165" fontId="14" fillId="5" borderId="0" xfId="0" applyNumberFormat="1" applyFont="1" applyFill="1"/>
    <xf numFmtId="2" fontId="14" fillId="5" borderId="0" xfId="0" applyNumberFormat="1" applyFont="1" applyFill="1"/>
    <xf numFmtId="165" fontId="14" fillId="7" borderId="0" xfId="0" applyNumberFormat="1" applyFont="1" applyFill="1"/>
    <xf numFmtId="2" fontId="14" fillId="7" borderId="0" xfId="0" applyNumberFormat="1" applyFont="1" applyFill="1"/>
    <xf numFmtId="165" fontId="14" fillId="8" borderId="0" xfId="0" applyNumberFormat="1" applyFont="1" applyFill="1"/>
    <xf numFmtId="2" fontId="14" fillId="8" borderId="0" xfId="0" applyNumberFormat="1" applyFont="1" applyFill="1"/>
    <xf numFmtId="165" fontId="14" fillId="9" borderId="0" xfId="0" applyNumberFormat="1" applyFont="1" applyFill="1"/>
    <xf numFmtId="2" fontId="14" fillId="9" borderId="0" xfId="0" applyNumberFormat="1" applyFont="1" applyFill="1"/>
    <xf numFmtId="165" fontId="14" fillId="10" borderId="0" xfId="0" applyNumberFormat="1" applyFont="1" applyFill="1"/>
    <xf numFmtId="2" fontId="14" fillId="10" borderId="0" xfId="0" applyNumberFormat="1" applyFont="1" applyFill="1"/>
    <xf numFmtId="165" fontId="14" fillId="11" borderId="0" xfId="0" applyNumberFormat="1" applyFont="1" applyFill="1"/>
    <xf numFmtId="2" fontId="14" fillId="11" borderId="0" xfId="0" applyNumberFormat="1" applyFont="1" applyFill="1"/>
    <xf numFmtId="165" fontId="14" fillId="3" borderId="0" xfId="0" applyNumberFormat="1" applyFont="1" applyFill="1"/>
    <xf numFmtId="2" fontId="14" fillId="3" borderId="0" xfId="0" applyNumberFormat="1" applyFont="1" applyFill="1"/>
    <xf numFmtId="165" fontId="14" fillId="4" borderId="0" xfId="0" applyNumberFormat="1" applyFont="1" applyFill="1"/>
    <xf numFmtId="2" fontId="14" fillId="4" borderId="0" xfId="0" applyNumberFormat="1" applyFont="1" applyFill="1"/>
    <xf numFmtId="165" fontId="14" fillId="12" borderId="0" xfId="0" applyNumberFormat="1" applyFont="1" applyFill="1"/>
    <xf numFmtId="2" fontId="14" fillId="12" borderId="0" xfId="0" applyNumberFormat="1" applyFont="1" applyFill="1"/>
    <xf numFmtId="0" fontId="7" fillId="0" borderId="0" xfId="0" applyFont="1" applyAlignment="1">
      <alignment vertical="center"/>
    </xf>
    <xf numFmtId="0" fontId="7" fillId="0" borderId="0" xfId="0" applyFont="1"/>
    <xf numFmtId="49" fontId="37" fillId="0" borderId="0" xfId="0" applyNumberFormat="1" applyFont="1"/>
    <xf numFmtId="0" fontId="43" fillId="0" borderId="0" xfId="0" applyFont="1"/>
    <xf numFmtId="0" fontId="8" fillId="0" borderId="0" xfId="0" applyFont="1" applyAlignment="1">
      <alignment horizontal="center" vertical="center"/>
    </xf>
    <xf numFmtId="2" fontId="44" fillId="0" borderId="0" xfId="0" applyNumberFormat="1" applyFont="1" applyAlignment="1">
      <alignment vertical="center"/>
    </xf>
    <xf numFmtId="1" fontId="38" fillId="0" borderId="0" xfId="0" applyNumberFormat="1" applyFont="1" applyAlignment="1">
      <alignment vertical="center"/>
    </xf>
    <xf numFmtId="1" fontId="38" fillId="0" borderId="0" xfId="0" applyNumberFormat="1" applyFont="1" applyAlignment="1">
      <alignment wrapText="1"/>
    </xf>
    <xf numFmtId="1" fontId="38" fillId="0" borderId="0" xfId="0" applyNumberFormat="1" applyFont="1" applyAlignment="1">
      <alignment horizontal="center" wrapText="1"/>
    </xf>
    <xf numFmtId="164" fontId="45" fillId="0" borderId="0" xfId="0" applyNumberFormat="1" applyFont="1"/>
    <xf numFmtId="2" fontId="45" fillId="0" borderId="0" xfId="0" applyNumberFormat="1" applyFont="1"/>
    <xf numFmtId="1" fontId="38" fillId="0" borderId="0" xfId="0" applyNumberFormat="1" applyFont="1" applyAlignment="1">
      <alignment vertical="center" wrapText="1"/>
    </xf>
    <xf numFmtId="1" fontId="46" fillId="0" borderId="0" xfId="0" applyNumberFormat="1" applyFont="1" applyAlignment="1">
      <alignment horizontal="center" wrapText="1"/>
    </xf>
    <xf numFmtId="1" fontId="38" fillId="0" borderId="0" xfId="0" applyNumberFormat="1" applyFont="1" applyAlignment="1">
      <alignment horizontal="left" wrapText="1"/>
    </xf>
    <xf numFmtId="0" fontId="45" fillId="0" borderId="0" xfId="0" applyFont="1"/>
    <xf numFmtId="2" fontId="45" fillId="0" borderId="0" xfId="0" applyNumberFormat="1" applyFont="1" applyAlignment="1">
      <alignment horizontal="left" wrapText="1"/>
    </xf>
    <xf numFmtId="0" fontId="45" fillId="0" borderId="0" xfId="0" applyFont="1" applyAlignment="1">
      <alignment horizontal="left"/>
    </xf>
    <xf numFmtId="0" fontId="43" fillId="0" borderId="0" xfId="0" applyFont="1" applyAlignment="1">
      <alignment horizontal="left" wrapText="1"/>
    </xf>
    <xf numFmtId="1" fontId="38" fillId="0" borderId="0" xfId="0" applyNumberFormat="1" applyFont="1" applyAlignment="1">
      <alignment horizontal="right" wrapText="1"/>
    </xf>
    <xf numFmtId="1" fontId="47" fillId="0" borderId="0" xfId="0" applyNumberFormat="1" applyFont="1" applyAlignment="1">
      <alignment horizontal="left" wrapText="1"/>
    </xf>
    <xf numFmtId="1" fontId="47" fillId="0" borderId="0" xfId="0" applyNumberFormat="1" applyFont="1" applyAlignment="1">
      <alignment horizontal="right" wrapText="1"/>
    </xf>
    <xf numFmtId="1" fontId="48" fillId="0" borderId="0" xfId="0" applyNumberFormat="1" applyFont="1" applyAlignment="1">
      <alignment horizontal="left" wrapText="1"/>
    </xf>
    <xf numFmtId="2" fontId="43" fillId="0" borderId="0" xfId="0" applyNumberFormat="1" applyFont="1" applyAlignment="1">
      <alignment horizontal="left" wrapText="1"/>
    </xf>
    <xf numFmtId="1" fontId="38" fillId="0" borderId="0" xfId="0" applyNumberFormat="1" applyFont="1"/>
    <xf numFmtId="164" fontId="43" fillId="0" borderId="0" xfId="0" applyNumberFormat="1" applyFont="1" applyAlignment="1">
      <alignment horizontal="left" wrapText="1"/>
    </xf>
    <xf numFmtId="2" fontId="48" fillId="0" borderId="0" xfId="0" applyNumberFormat="1" applyFont="1" applyAlignment="1">
      <alignment horizontal="left"/>
    </xf>
    <xf numFmtId="2" fontId="41" fillId="0" borderId="0" xfId="0" applyNumberFormat="1" applyFont="1" applyAlignment="1">
      <alignment horizontal="right"/>
    </xf>
    <xf numFmtId="49" fontId="46" fillId="0" borderId="19" xfId="0" applyNumberFormat="1" applyFont="1" applyBorder="1" applyAlignment="1">
      <alignment horizontal="center" vertical="center" wrapText="1"/>
    </xf>
    <xf numFmtId="0" fontId="46" fillId="0" borderId="26" xfId="0" applyFont="1" applyBorder="1" applyAlignment="1">
      <alignment horizontal="center" vertical="center" wrapText="1"/>
    </xf>
    <xf numFmtId="1" fontId="46" fillId="0" borderId="26" xfId="0" applyNumberFormat="1" applyFont="1" applyBorder="1" applyAlignment="1">
      <alignment horizontal="center" vertical="center" wrapText="1"/>
    </xf>
    <xf numFmtId="2" fontId="46" fillId="0" borderId="26" xfId="0" applyNumberFormat="1" applyFont="1" applyBorder="1" applyAlignment="1">
      <alignment horizontal="center" vertical="center" wrapText="1"/>
    </xf>
    <xf numFmtId="2" fontId="46" fillId="2" borderId="26" xfId="0" applyNumberFormat="1" applyFont="1" applyFill="1" applyBorder="1" applyAlignment="1">
      <alignment horizontal="center" vertical="center" wrapText="1"/>
    </xf>
    <xf numFmtId="165" fontId="46" fillId="0" borderId="26" xfId="0" applyNumberFormat="1" applyFont="1" applyBorder="1" applyAlignment="1">
      <alignment horizontal="center" vertical="center" wrapText="1"/>
    </xf>
    <xf numFmtId="165" fontId="46" fillId="0" borderId="27" xfId="0" applyNumberFormat="1" applyFont="1" applyBorder="1" applyAlignment="1">
      <alignment horizontal="center" vertical="center" wrapText="1"/>
    </xf>
    <xf numFmtId="49" fontId="43" fillId="0" borderId="1" xfId="0" applyNumberFormat="1" applyFont="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center" vertical="center"/>
    </xf>
    <xf numFmtId="0" fontId="43" fillId="0" borderId="2" xfId="0" applyFont="1" applyBorder="1"/>
    <xf numFmtId="165" fontId="43" fillId="0" borderId="2" xfId="0" applyNumberFormat="1" applyFont="1" applyBorder="1" applyAlignment="1">
      <alignment vertical="center"/>
    </xf>
    <xf numFmtId="165" fontId="43" fillId="0" borderId="3" xfId="0" applyNumberFormat="1" applyFont="1" applyBorder="1"/>
    <xf numFmtId="49" fontId="43" fillId="0" borderId="4" xfId="0" applyNumberFormat="1" applyFont="1" applyBorder="1" applyAlignment="1">
      <alignment horizontal="center" vertical="center"/>
    </xf>
    <xf numFmtId="0" fontId="43" fillId="0" borderId="5" xfId="0" applyFont="1" applyBorder="1" applyAlignment="1">
      <alignment horizontal="left" vertical="center" wrapText="1"/>
    </xf>
    <xf numFmtId="0" fontId="43" fillId="0" borderId="5" xfId="0" applyFont="1" applyBorder="1" applyAlignment="1">
      <alignment horizontal="center" vertical="center"/>
    </xf>
    <xf numFmtId="4" fontId="43" fillId="2" borderId="5" xfId="0" applyNumberFormat="1" applyFont="1" applyFill="1" applyBorder="1" applyAlignment="1">
      <alignment horizontal="right" vertical="center"/>
    </xf>
    <xf numFmtId="4" fontId="43" fillId="0" borderId="5" xfId="0" applyNumberFormat="1" applyFont="1" applyBorder="1" applyAlignment="1">
      <alignment horizontal="right" vertical="center"/>
    </xf>
    <xf numFmtId="4" fontId="46" fillId="0" borderId="5" xfId="0" applyNumberFormat="1" applyFont="1" applyBorder="1" applyAlignment="1">
      <alignment horizontal="right" vertical="center"/>
    </xf>
    <xf numFmtId="4" fontId="46" fillId="0" borderId="6" xfId="0" applyNumberFormat="1" applyFont="1" applyBorder="1" applyAlignment="1">
      <alignment horizontal="right" vertical="center"/>
    </xf>
    <xf numFmtId="4" fontId="43" fillId="11" borderId="5" xfId="0" applyNumberFormat="1" applyFont="1" applyFill="1" applyBorder="1" applyAlignment="1">
      <alignment horizontal="right" vertical="center"/>
    </xf>
    <xf numFmtId="0" fontId="43" fillId="0" borderId="5" xfId="0" applyFont="1" applyBorder="1"/>
    <xf numFmtId="49" fontId="43" fillId="2" borderId="4" xfId="0" applyNumberFormat="1" applyFont="1" applyFill="1" applyBorder="1" applyAlignment="1">
      <alignment horizontal="center" vertical="center"/>
    </xf>
    <xf numFmtId="0" fontId="43" fillId="2" borderId="5" xfId="0" applyFont="1" applyFill="1" applyBorder="1" applyAlignment="1">
      <alignment horizontal="left" vertical="center" wrapText="1"/>
    </xf>
    <xf numFmtId="0" fontId="43" fillId="2" borderId="5" xfId="0" applyFont="1" applyFill="1" applyBorder="1" applyAlignment="1">
      <alignment horizontal="center" vertical="center"/>
    </xf>
    <xf numFmtId="2" fontId="43" fillId="2" borderId="5" xfId="0" applyNumberFormat="1" applyFont="1" applyFill="1" applyBorder="1"/>
    <xf numFmtId="0" fontId="43" fillId="2" borderId="5" xfId="0" applyFont="1" applyFill="1" applyBorder="1"/>
    <xf numFmtId="0" fontId="43" fillId="2" borderId="5" xfId="0" quotePrefix="1" applyFont="1" applyFill="1" applyBorder="1" applyAlignment="1">
      <alignment horizontal="left" vertical="center" wrapText="1"/>
    </xf>
    <xf numFmtId="49" fontId="43" fillId="2" borderId="7" xfId="0" applyNumberFormat="1" applyFont="1" applyFill="1" applyBorder="1" applyAlignment="1">
      <alignment horizontal="center" vertical="center"/>
    </xf>
    <xf numFmtId="0" fontId="43" fillId="2" borderId="8" xfId="0" applyFont="1" applyFill="1" applyBorder="1" applyAlignment="1">
      <alignment horizontal="left" vertical="center" wrapText="1"/>
    </xf>
    <xf numFmtId="0" fontId="43" fillId="2" borderId="8" xfId="0" applyFont="1" applyFill="1" applyBorder="1" applyAlignment="1">
      <alignment horizontal="center" vertical="center"/>
    </xf>
    <xf numFmtId="2" fontId="43" fillId="2" borderId="8" xfId="0" applyNumberFormat="1" applyFont="1" applyFill="1" applyBorder="1"/>
    <xf numFmtId="4" fontId="43" fillId="2" borderId="8" xfId="0" applyNumberFormat="1" applyFont="1" applyFill="1" applyBorder="1" applyAlignment="1">
      <alignment horizontal="right" vertical="center"/>
    </xf>
    <xf numFmtId="4" fontId="43" fillId="0" borderId="8" xfId="0" applyNumberFormat="1" applyFont="1" applyBorder="1" applyAlignment="1">
      <alignment horizontal="right" vertical="center"/>
    </xf>
    <xf numFmtId="4" fontId="46" fillId="0" borderId="8" xfId="0" applyNumberFormat="1" applyFont="1" applyBorder="1" applyAlignment="1">
      <alignment horizontal="right" vertical="center"/>
    </xf>
    <xf numFmtId="4" fontId="46" fillId="0" borderId="9" xfId="0" applyNumberFormat="1" applyFont="1" applyBorder="1" applyAlignment="1">
      <alignment horizontal="right" vertical="center"/>
    </xf>
    <xf numFmtId="1" fontId="39" fillId="0" borderId="0" xfId="0" applyNumberFormat="1" applyFont="1"/>
    <xf numFmtId="1" fontId="38" fillId="0" borderId="0" xfId="0" applyNumberFormat="1" applyFont="1" applyAlignment="1">
      <alignment horizontal="left" vertical="center"/>
    </xf>
    <xf numFmtId="0" fontId="46" fillId="0" borderId="0" xfId="0" applyFont="1"/>
    <xf numFmtId="2" fontId="46" fillId="0" borderId="0" xfId="0" applyNumberFormat="1" applyFont="1" applyAlignment="1">
      <alignment horizontal="left"/>
    </xf>
    <xf numFmtId="2" fontId="46" fillId="0" borderId="0" xfId="0" applyNumberFormat="1" applyFont="1"/>
    <xf numFmtId="49" fontId="39" fillId="0" borderId="0" xfId="0" applyNumberFormat="1" applyFont="1"/>
    <xf numFmtId="2" fontId="43" fillId="0" borderId="0" xfId="0" applyNumberFormat="1" applyFont="1"/>
    <xf numFmtId="1" fontId="38" fillId="0" borderId="0" xfId="0" applyNumberFormat="1" applyFont="1" applyAlignment="1">
      <alignment horizontal="center" vertical="center"/>
    </xf>
    <xf numFmtId="1" fontId="39" fillId="0" borderId="0" xfId="0" applyNumberFormat="1" applyFont="1" applyAlignment="1">
      <alignment horizontal="justify" wrapText="1"/>
    </xf>
    <xf numFmtId="1" fontId="7" fillId="0" borderId="0" xfId="0" applyNumberFormat="1" applyFont="1" applyAlignment="1">
      <alignment horizontal="justify" wrapText="1"/>
    </xf>
    <xf numFmtId="1" fontId="37" fillId="0" borderId="0" xfId="0" applyNumberFormat="1" applyFont="1" applyAlignment="1">
      <alignment wrapText="1"/>
    </xf>
    <xf numFmtId="164" fontId="43" fillId="0" borderId="0" xfId="0" applyNumberFormat="1" applyFont="1"/>
    <xf numFmtId="2" fontId="44" fillId="0" borderId="0" xfId="0" applyNumberFormat="1" applyFont="1"/>
    <xf numFmtId="1" fontId="7" fillId="0" borderId="0" xfId="0" applyNumberFormat="1" applyFont="1" applyAlignment="1">
      <alignment horizontal="justify" vertical="center" wrapText="1"/>
    </xf>
    <xf numFmtId="1" fontId="37" fillId="0" borderId="0" xfId="0" applyNumberFormat="1" applyFont="1" applyAlignment="1">
      <alignment horizontal="left" wrapText="1"/>
    </xf>
    <xf numFmtId="1" fontId="44" fillId="0" borderId="0" xfId="0" applyNumberFormat="1" applyFont="1" applyAlignment="1">
      <alignment horizontal="justify" wrapText="1"/>
    </xf>
    <xf numFmtId="1" fontId="44" fillId="0" borderId="0" xfId="0" applyNumberFormat="1" applyFont="1" applyAlignment="1">
      <alignment horizontal="left" wrapText="1"/>
    </xf>
    <xf numFmtId="164" fontId="44" fillId="0" borderId="0" xfId="0" applyNumberFormat="1" applyFont="1"/>
    <xf numFmtId="0" fontId="43" fillId="4" borderId="5" xfId="0" applyFont="1" applyFill="1" applyBorder="1" applyAlignment="1">
      <alignment horizontal="left" vertical="center" wrapText="1"/>
    </xf>
    <xf numFmtId="0" fontId="43" fillId="4" borderId="5" xfId="0" applyFont="1" applyFill="1" applyBorder="1" applyAlignment="1">
      <alignment horizontal="center" vertical="center"/>
    </xf>
    <xf numFmtId="2" fontId="43" fillId="4" borderId="5" xfId="0" applyNumberFormat="1" applyFont="1" applyFill="1" applyBorder="1"/>
    <xf numFmtId="4" fontId="43" fillId="4" borderId="5" xfId="0" applyNumberFormat="1" applyFont="1" applyFill="1" applyBorder="1" applyAlignment="1">
      <alignment horizontal="right" vertical="center"/>
    </xf>
    <xf numFmtId="4" fontId="46" fillId="4" borderId="5" xfId="0" applyNumberFormat="1" applyFont="1" applyFill="1" applyBorder="1" applyAlignment="1">
      <alignment horizontal="right" vertical="center"/>
    </xf>
    <xf numFmtId="4" fontId="46" fillId="4" borderId="6" xfId="0" applyNumberFormat="1" applyFont="1" applyFill="1" applyBorder="1" applyAlignment="1">
      <alignment horizontal="right" vertical="center"/>
    </xf>
    <xf numFmtId="0" fontId="43" fillId="14" borderId="5" xfId="0" applyFont="1" applyFill="1" applyBorder="1" applyAlignment="1">
      <alignment horizontal="left" vertical="center" wrapText="1"/>
    </xf>
    <xf numFmtId="0" fontId="43" fillId="14" borderId="5" xfId="0" applyFont="1" applyFill="1" applyBorder="1" applyAlignment="1">
      <alignment horizontal="center" vertical="center"/>
    </xf>
    <xf numFmtId="2" fontId="43" fillId="14" borderId="5" xfId="0" applyNumberFormat="1" applyFont="1" applyFill="1" applyBorder="1"/>
    <xf numFmtId="4" fontId="43" fillId="14" borderId="5" xfId="0" applyNumberFormat="1" applyFont="1" applyFill="1" applyBorder="1" applyAlignment="1">
      <alignment horizontal="right" vertical="center"/>
    </xf>
    <xf numFmtId="4" fontId="46" fillId="14" borderId="5" xfId="0" applyNumberFormat="1" applyFont="1" applyFill="1" applyBorder="1" applyAlignment="1">
      <alignment horizontal="right" vertical="center"/>
    </xf>
    <xf numFmtId="4" fontId="46" fillId="14" borderId="6" xfId="0" applyNumberFormat="1" applyFont="1" applyFill="1" applyBorder="1" applyAlignment="1">
      <alignment horizontal="right" vertical="center"/>
    </xf>
    <xf numFmtId="4" fontId="0" fillId="14" borderId="0" xfId="0" applyNumberFormat="1" applyFill="1"/>
    <xf numFmtId="0" fontId="43" fillId="8" borderId="5" xfId="0" applyFont="1" applyFill="1" applyBorder="1" applyAlignment="1">
      <alignment horizontal="left" vertical="center" wrapText="1"/>
    </xf>
    <xf numFmtId="0" fontId="43" fillId="8" borderId="5" xfId="0" applyFont="1" applyFill="1" applyBorder="1" applyAlignment="1">
      <alignment horizontal="center" vertical="center"/>
    </xf>
    <xf numFmtId="2" fontId="43" fillId="8" borderId="5" xfId="0" applyNumberFormat="1" applyFont="1" applyFill="1" applyBorder="1"/>
    <xf numFmtId="4" fontId="43" fillId="8" borderId="5" xfId="0" applyNumberFormat="1" applyFont="1" applyFill="1" applyBorder="1" applyAlignment="1">
      <alignment horizontal="right" vertical="center"/>
    </xf>
    <xf numFmtId="4" fontId="46" fillId="8" borderId="5" xfId="0" applyNumberFormat="1" applyFont="1" applyFill="1" applyBorder="1" applyAlignment="1">
      <alignment horizontal="right" vertical="center"/>
    </xf>
    <xf numFmtId="4" fontId="46" fillId="8" borderId="6" xfId="0" applyNumberFormat="1" applyFont="1" applyFill="1" applyBorder="1" applyAlignment="1">
      <alignment horizontal="right" vertical="center"/>
    </xf>
    <xf numFmtId="4" fontId="0" fillId="8" borderId="0" xfId="0" applyNumberFormat="1" applyFill="1"/>
    <xf numFmtId="2" fontId="43" fillId="0" borderId="5" xfId="0" applyNumberFormat="1" applyFont="1" applyBorder="1"/>
    <xf numFmtId="0" fontId="43" fillId="11" borderId="5" xfId="0" applyFont="1" applyFill="1" applyBorder="1" applyAlignment="1">
      <alignment horizontal="left" vertical="center" wrapText="1"/>
    </xf>
    <xf numFmtId="0" fontId="43" fillId="11" borderId="5" xfId="0" applyFont="1" applyFill="1" applyBorder="1" applyAlignment="1">
      <alignment horizontal="center" vertical="center"/>
    </xf>
    <xf numFmtId="2" fontId="43" fillId="11" borderId="5" xfId="0" applyNumberFormat="1" applyFont="1" applyFill="1" applyBorder="1"/>
    <xf numFmtId="4" fontId="46" fillId="11" borderId="5" xfId="0" applyNumberFormat="1" applyFont="1" applyFill="1" applyBorder="1" applyAlignment="1">
      <alignment horizontal="right" vertical="center"/>
    </xf>
    <xf numFmtId="4" fontId="46" fillId="11" borderId="6" xfId="0" applyNumberFormat="1" applyFont="1" applyFill="1" applyBorder="1" applyAlignment="1">
      <alignment horizontal="right" vertical="center"/>
    </xf>
    <xf numFmtId="4" fontId="0" fillId="11" borderId="0" xfId="0" applyNumberFormat="1" applyFill="1"/>
    <xf numFmtId="0" fontId="43" fillId="3" borderId="5" xfId="0" applyFont="1" applyFill="1" applyBorder="1" applyAlignment="1">
      <alignment horizontal="left" vertical="center" wrapText="1"/>
    </xf>
    <xf numFmtId="0" fontId="43" fillId="3" borderId="5" xfId="0" applyFont="1" applyFill="1" applyBorder="1" applyAlignment="1">
      <alignment horizontal="center" vertical="center"/>
    </xf>
    <xf numFmtId="2" fontId="43" fillId="3" borderId="5" xfId="0" applyNumberFormat="1" applyFont="1" applyFill="1" applyBorder="1"/>
    <xf numFmtId="4" fontId="43" fillId="3" borderId="5" xfId="0" applyNumberFormat="1" applyFont="1" applyFill="1" applyBorder="1" applyAlignment="1">
      <alignment horizontal="right" vertical="center"/>
    </xf>
    <xf numFmtId="4" fontId="46" fillId="3" borderId="5" xfId="0" applyNumberFormat="1" applyFont="1" applyFill="1" applyBorder="1" applyAlignment="1">
      <alignment horizontal="right" vertical="center"/>
    </xf>
    <xf numFmtId="4" fontId="46" fillId="3" borderId="6" xfId="0" applyNumberFormat="1" applyFont="1" applyFill="1" applyBorder="1" applyAlignment="1">
      <alignment horizontal="right" vertical="center"/>
    </xf>
    <xf numFmtId="4" fontId="0" fillId="3" borderId="0" xfId="0" applyNumberFormat="1" applyFill="1"/>
    <xf numFmtId="4" fontId="0" fillId="4" borderId="0" xfId="0" applyNumberFormat="1" applyFill="1"/>
    <xf numFmtId="0" fontId="43" fillId="15" borderId="5" xfId="0" applyFont="1" applyFill="1" applyBorder="1" applyAlignment="1">
      <alignment horizontal="left" vertical="center" wrapText="1"/>
    </xf>
    <xf numFmtId="0" fontId="43" fillId="15" borderId="5" xfId="0" applyFont="1" applyFill="1" applyBorder="1" applyAlignment="1">
      <alignment horizontal="center" vertical="center"/>
    </xf>
    <xf numFmtId="2" fontId="43" fillId="15" borderId="5" xfId="0" applyNumberFormat="1" applyFont="1" applyFill="1" applyBorder="1"/>
    <xf numFmtId="4" fontId="43" fillId="15" borderId="5" xfId="0" applyNumberFormat="1" applyFont="1" applyFill="1" applyBorder="1" applyAlignment="1">
      <alignment horizontal="right" vertical="center"/>
    </xf>
    <xf numFmtId="4" fontId="46" fillId="15" borderId="5" xfId="0" applyNumberFormat="1" applyFont="1" applyFill="1" applyBorder="1" applyAlignment="1">
      <alignment horizontal="right" vertical="center"/>
    </xf>
    <xf numFmtId="4" fontId="46" fillId="15" borderId="6" xfId="0" applyNumberFormat="1" applyFont="1" applyFill="1" applyBorder="1" applyAlignment="1">
      <alignment horizontal="right" vertical="center"/>
    </xf>
    <xf numFmtId="4" fontId="0" fillId="15" borderId="0" xfId="0" applyNumberFormat="1" applyFill="1"/>
    <xf numFmtId="0" fontId="43" fillId="13" borderId="5" xfId="0" quotePrefix="1" applyFont="1" applyFill="1" applyBorder="1" applyAlignment="1">
      <alignment horizontal="left" vertical="center" wrapText="1"/>
    </xf>
    <xf numFmtId="0" fontId="43" fillId="13" borderId="5" xfId="0" applyFont="1" applyFill="1" applyBorder="1" applyAlignment="1">
      <alignment horizontal="center" vertical="center"/>
    </xf>
    <xf numFmtId="2" fontId="43" fillId="13" borderId="5" xfId="0" applyNumberFormat="1" applyFont="1" applyFill="1" applyBorder="1"/>
    <xf numFmtId="4" fontId="43" fillId="13" borderId="5" xfId="0" applyNumberFormat="1" applyFont="1" applyFill="1" applyBorder="1" applyAlignment="1">
      <alignment horizontal="right" vertical="center"/>
    </xf>
    <xf numFmtId="4" fontId="46" fillId="13" borderId="5" xfId="0" applyNumberFormat="1" applyFont="1" applyFill="1" applyBorder="1" applyAlignment="1">
      <alignment horizontal="right" vertical="center"/>
    </xf>
    <xf numFmtId="4" fontId="46" fillId="13" borderId="6" xfId="0" applyNumberFormat="1" applyFont="1" applyFill="1" applyBorder="1" applyAlignment="1">
      <alignment horizontal="right" vertical="center"/>
    </xf>
    <xf numFmtId="4" fontId="0" fillId="13" borderId="0" xfId="0" applyNumberFormat="1" applyFill="1"/>
    <xf numFmtId="0" fontId="43" fillId="16" borderId="5" xfId="0" applyFont="1" applyFill="1" applyBorder="1" applyAlignment="1">
      <alignment horizontal="center" vertical="center"/>
    </xf>
    <xf numFmtId="2" fontId="43" fillId="16" borderId="5" xfId="0" applyNumberFormat="1" applyFont="1" applyFill="1" applyBorder="1"/>
    <xf numFmtId="4" fontId="43" fillId="16" borderId="5" xfId="0" applyNumberFormat="1" applyFont="1" applyFill="1" applyBorder="1" applyAlignment="1">
      <alignment horizontal="right" vertical="center"/>
    </xf>
    <xf numFmtId="4" fontId="43" fillId="16" borderId="5" xfId="0" applyNumberFormat="1" applyFont="1" applyFill="1" applyBorder="1" applyAlignment="1">
      <alignment horizontal="right" vertical="center" wrapText="1"/>
    </xf>
    <xf numFmtId="0" fontId="43" fillId="6" borderId="5" xfId="0" applyFont="1" applyFill="1" applyBorder="1" applyAlignment="1">
      <alignment horizontal="center" vertical="center"/>
    </xf>
    <xf numFmtId="2" fontId="43" fillId="6" borderId="5" xfId="0" applyNumberFormat="1" applyFont="1" applyFill="1" applyBorder="1"/>
    <xf numFmtId="4" fontId="43" fillId="6" borderId="5" xfId="0" applyNumberFormat="1" applyFont="1" applyFill="1" applyBorder="1" applyAlignment="1">
      <alignment horizontal="right" vertical="center"/>
    </xf>
    <xf numFmtId="4" fontId="43" fillId="6" borderId="5" xfId="0" applyNumberFormat="1" applyFont="1" applyFill="1" applyBorder="1" applyAlignment="1">
      <alignment horizontal="right" vertical="center" wrapText="1"/>
    </xf>
    <xf numFmtId="0" fontId="43" fillId="17" borderId="5" xfId="0" quotePrefix="1" applyFont="1" applyFill="1" applyBorder="1" applyAlignment="1">
      <alignment horizontal="left" vertical="center" wrapText="1"/>
    </xf>
    <xf numFmtId="0" fontId="43" fillId="17" borderId="5" xfId="0" applyFont="1" applyFill="1" applyBorder="1" applyAlignment="1">
      <alignment horizontal="center" vertical="center"/>
    </xf>
    <xf numFmtId="2" fontId="43" fillId="17" borderId="5" xfId="0" applyNumberFormat="1" applyFont="1" applyFill="1" applyBorder="1"/>
    <xf numFmtId="4" fontId="43" fillId="17" borderId="5" xfId="0" applyNumberFormat="1" applyFont="1" applyFill="1" applyBorder="1" applyAlignment="1">
      <alignment horizontal="right" vertical="center"/>
    </xf>
    <xf numFmtId="4" fontId="46" fillId="17" borderId="5" xfId="0" applyNumberFormat="1" applyFont="1" applyFill="1" applyBorder="1" applyAlignment="1">
      <alignment horizontal="right" vertical="center"/>
    </xf>
    <xf numFmtId="4" fontId="46" fillId="17" borderId="6" xfId="0" applyNumberFormat="1" applyFont="1" applyFill="1" applyBorder="1" applyAlignment="1">
      <alignment horizontal="right" vertical="center"/>
    </xf>
    <xf numFmtId="4" fontId="0" fillId="17" borderId="0" xfId="0" applyNumberFormat="1" applyFill="1"/>
    <xf numFmtId="0" fontId="43" fillId="12" borderId="5" xfId="0" applyFont="1" applyFill="1" applyBorder="1" applyAlignment="1">
      <alignment horizontal="left" vertical="center" wrapText="1"/>
    </xf>
    <xf numFmtId="0" fontId="43" fillId="12" borderId="5" xfId="0" applyFont="1" applyFill="1" applyBorder="1" applyAlignment="1">
      <alignment horizontal="center" vertical="center"/>
    </xf>
    <xf numFmtId="0" fontId="43" fillId="12" borderId="5" xfId="0" applyFont="1" applyFill="1" applyBorder="1"/>
    <xf numFmtId="4" fontId="43" fillId="12" borderId="5" xfId="0" applyNumberFormat="1" applyFont="1" applyFill="1" applyBorder="1" applyAlignment="1">
      <alignment horizontal="right" vertical="center"/>
    </xf>
    <xf numFmtId="4" fontId="46" fillId="12" borderId="5" xfId="0" applyNumberFormat="1" applyFont="1" applyFill="1" applyBorder="1" applyAlignment="1">
      <alignment horizontal="right" vertical="center"/>
    </xf>
    <xf numFmtId="4" fontId="46" fillId="12" borderId="6" xfId="0" applyNumberFormat="1" applyFont="1" applyFill="1" applyBorder="1" applyAlignment="1">
      <alignment horizontal="right" vertical="center"/>
    </xf>
    <xf numFmtId="0" fontId="0" fillId="12" borderId="0" xfId="0" applyFill="1"/>
    <xf numFmtId="2" fontId="43" fillId="12" borderId="5" xfId="0" applyNumberFormat="1" applyFont="1" applyFill="1" applyBorder="1"/>
    <xf numFmtId="4" fontId="53" fillId="12" borderId="0" xfId="0" applyNumberFormat="1" applyFont="1" applyFill="1"/>
    <xf numFmtId="2" fontId="50" fillId="0" borderId="0" xfId="0" applyNumberFormat="1" applyFont="1" applyAlignment="1">
      <alignment vertical="center"/>
    </xf>
    <xf numFmtId="49" fontId="46" fillId="0" borderId="13" xfId="0" applyNumberFormat="1" applyFont="1" applyBorder="1" applyAlignment="1">
      <alignment horizontal="center" vertical="center" wrapText="1"/>
    </xf>
    <xf numFmtId="0" fontId="46" fillId="0" borderId="14" xfId="0" applyFont="1" applyBorder="1" applyAlignment="1">
      <alignment horizontal="center" vertical="center" wrapText="1"/>
    </xf>
    <xf numFmtId="1" fontId="46" fillId="0" borderId="14" xfId="0" applyNumberFormat="1" applyFont="1" applyBorder="1" applyAlignment="1">
      <alignment horizontal="center" vertical="center" wrapText="1"/>
    </xf>
    <xf numFmtId="2" fontId="46" fillId="0" borderId="14" xfId="0" applyNumberFormat="1" applyFont="1" applyBorder="1" applyAlignment="1">
      <alignment horizontal="center" vertical="center" wrapText="1"/>
    </xf>
    <xf numFmtId="2" fontId="46" fillId="2" borderId="14" xfId="0" applyNumberFormat="1" applyFont="1" applyFill="1" applyBorder="1" applyAlignment="1">
      <alignment horizontal="center" vertical="center" wrapText="1"/>
    </xf>
    <xf numFmtId="0" fontId="43" fillId="10" borderId="5" xfId="0" quotePrefix="1" applyFont="1" applyFill="1" applyBorder="1" applyAlignment="1">
      <alignment horizontal="left" vertical="center" wrapText="1"/>
    </xf>
    <xf numFmtId="0" fontId="43" fillId="18" borderId="5" xfId="0" quotePrefix="1" applyFont="1" applyFill="1" applyBorder="1" applyAlignment="1">
      <alignment horizontal="left" vertical="center" wrapText="1"/>
    </xf>
    <xf numFmtId="0" fontId="43" fillId="19" borderId="5" xfId="0" quotePrefix="1" applyFont="1" applyFill="1" applyBorder="1" applyAlignment="1">
      <alignment horizontal="left" vertical="center" wrapText="1"/>
    </xf>
    <xf numFmtId="4" fontId="46" fillId="19" borderId="5" xfId="0" applyNumberFormat="1" applyFont="1" applyFill="1" applyBorder="1" applyAlignment="1">
      <alignment horizontal="right" vertical="center"/>
    </xf>
    <xf numFmtId="4" fontId="43" fillId="19" borderId="5" xfId="0" applyNumberFormat="1" applyFont="1" applyFill="1" applyBorder="1" applyAlignment="1">
      <alignment horizontal="right" vertical="center"/>
    </xf>
    <xf numFmtId="4" fontId="46" fillId="19" borderId="6" xfId="0" applyNumberFormat="1" applyFont="1" applyFill="1" applyBorder="1" applyAlignment="1">
      <alignment horizontal="right" vertical="center"/>
    </xf>
    <xf numFmtId="4" fontId="0" fillId="19" borderId="0" xfId="0" applyNumberFormat="1" applyFill="1"/>
    <xf numFmtId="4" fontId="46" fillId="10" borderId="5" xfId="0" applyNumberFormat="1" applyFont="1" applyFill="1" applyBorder="1" applyAlignment="1">
      <alignment horizontal="right" vertical="center"/>
    </xf>
    <xf numFmtId="4" fontId="43" fillId="10" borderId="5" xfId="0" applyNumberFormat="1" applyFont="1" applyFill="1" applyBorder="1" applyAlignment="1">
      <alignment horizontal="right" vertical="center"/>
    </xf>
    <xf numFmtId="4" fontId="46" fillId="10" borderId="6" xfId="0" applyNumberFormat="1" applyFont="1" applyFill="1" applyBorder="1" applyAlignment="1">
      <alignment horizontal="right" vertical="center"/>
    </xf>
    <xf numFmtId="4" fontId="0" fillId="10" borderId="0" xfId="0" applyNumberFormat="1" applyFill="1"/>
    <xf numFmtId="4" fontId="46" fillId="18" borderId="5" xfId="0" applyNumberFormat="1" applyFont="1" applyFill="1" applyBorder="1" applyAlignment="1">
      <alignment horizontal="right" vertical="center"/>
    </xf>
    <xf numFmtId="4" fontId="43" fillId="18" borderId="5" xfId="0" applyNumberFormat="1" applyFont="1" applyFill="1" applyBorder="1" applyAlignment="1">
      <alignment horizontal="right" vertical="center"/>
    </xf>
    <xf numFmtId="4" fontId="46" fillId="18" borderId="6" xfId="0" applyNumberFormat="1" applyFont="1" applyFill="1" applyBorder="1" applyAlignment="1">
      <alignment horizontal="right" vertical="center"/>
    </xf>
    <xf numFmtId="4" fontId="0" fillId="18" borderId="0" xfId="0" applyNumberFormat="1" applyFill="1"/>
    <xf numFmtId="0" fontId="43" fillId="10" borderId="5" xfId="0" applyFont="1" applyFill="1" applyBorder="1" applyAlignment="1">
      <alignment horizontal="center" vertical="center"/>
    </xf>
    <xf numFmtId="2" fontId="43" fillId="10" borderId="5" xfId="0" applyNumberFormat="1" applyFont="1" applyFill="1" applyBorder="1"/>
    <xf numFmtId="4" fontId="43" fillId="10" borderId="5" xfId="0" applyNumberFormat="1" applyFont="1" applyFill="1" applyBorder="1" applyAlignment="1">
      <alignment horizontal="right" vertical="center" wrapText="1"/>
    </xf>
    <xf numFmtId="0" fontId="43" fillId="20" borderId="5" xfId="0" quotePrefix="1" applyFont="1" applyFill="1" applyBorder="1" applyAlignment="1">
      <alignment horizontal="left" vertical="center" wrapText="1"/>
    </xf>
    <xf numFmtId="0" fontId="43" fillId="20" borderId="5" xfId="0" applyFont="1" applyFill="1" applyBorder="1" applyAlignment="1">
      <alignment horizontal="center" vertical="center"/>
    </xf>
    <xf numFmtId="2" fontId="43" fillId="20" borderId="5" xfId="0" applyNumberFormat="1" applyFont="1" applyFill="1" applyBorder="1"/>
    <xf numFmtId="4" fontId="43" fillId="20" borderId="5" xfId="0" applyNumberFormat="1" applyFont="1" applyFill="1" applyBorder="1" applyAlignment="1">
      <alignment horizontal="right" vertical="center"/>
    </xf>
    <xf numFmtId="4" fontId="46" fillId="20" borderId="5" xfId="0" applyNumberFormat="1" applyFont="1" applyFill="1" applyBorder="1" applyAlignment="1">
      <alignment horizontal="right" vertical="center"/>
    </xf>
    <xf numFmtId="4" fontId="46" fillId="20" borderId="6" xfId="0" applyNumberFormat="1" applyFont="1" applyFill="1" applyBorder="1" applyAlignment="1">
      <alignment horizontal="right" vertical="center"/>
    </xf>
    <xf numFmtId="4" fontId="0" fillId="20" borderId="0" xfId="0" applyNumberFormat="1" applyFill="1"/>
    <xf numFmtId="0" fontId="54" fillId="0" borderId="0" xfId="0" applyFont="1"/>
    <xf numFmtId="0" fontId="2" fillId="0" borderId="0" xfId="0" applyFont="1"/>
    <xf numFmtId="2" fontId="55" fillId="0" borderId="0" xfId="0" applyNumberFormat="1" applyFont="1"/>
    <xf numFmtId="1" fontId="56" fillId="0" borderId="0" xfId="0" applyNumberFormat="1" applyFont="1" applyAlignment="1">
      <alignment vertical="center" wrapText="1"/>
    </xf>
    <xf numFmtId="0" fontId="55" fillId="0" borderId="0" xfId="0" applyFont="1" applyAlignment="1">
      <alignment horizontal="left"/>
    </xf>
    <xf numFmtId="0" fontId="2" fillId="0" borderId="0" xfId="0" applyFont="1" applyAlignment="1">
      <alignment horizontal="left" wrapText="1"/>
    </xf>
    <xf numFmtId="1" fontId="56" fillId="0" borderId="0" xfId="0" applyNumberFormat="1" applyFont="1" applyAlignment="1">
      <alignment wrapText="1"/>
    </xf>
    <xf numFmtId="1" fontId="57" fillId="0" borderId="0" xfId="0" applyNumberFormat="1" applyFont="1" applyAlignment="1">
      <alignment horizontal="right" wrapText="1"/>
    </xf>
    <xf numFmtId="1" fontId="58" fillId="0" borderId="0" xfId="0" applyNumberFormat="1" applyFont="1" applyAlignment="1">
      <alignment horizontal="center" wrapText="1"/>
    </xf>
    <xf numFmtId="0" fontId="40" fillId="0" borderId="0" xfId="0" applyFont="1" applyAlignment="1">
      <alignment horizontal="left" wrapText="1"/>
    </xf>
    <xf numFmtId="164" fontId="40" fillId="0" borderId="0" xfId="0" applyNumberFormat="1" applyFont="1" applyAlignment="1">
      <alignment horizontal="left" wrapText="1"/>
    </xf>
    <xf numFmtId="2" fontId="40" fillId="0" borderId="0" xfId="0" applyNumberFormat="1" applyFont="1" applyAlignment="1">
      <alignment horizontal="left" wrapText="1"/>
    </xf>
    <xf numFmtId="2" fontId="6" fillId="0" borderId="0" xfId="0" applyNumberFormat="1" applyFont="1" applyAlignment="1">
      <alignment horizontal="left" wrapText="1"/>
    </xf>
    <xf numFmtId="2" fontId="60" fillId="0" borderId="0" xfId="0" applyNumberFormat="1" applyFont="1" applyAlignment="1">
      <alignment horizontal="left"/>
    </xf>
    <xf numFmtId="0" fontId="61" fillId="0" borderId="0" xfId="0" applyFont="1" applyAlignment="1">
      <alignment horizontal="left" wrapText="1"/>
    </xf>
    <xf numFmtId="2" fontId="62" fillId="0" borderId="0" xfId="0" applyNumberFormat="1" applyFont="1" applyAlignment="1">
      <alignment horizontal="right"/>
    </xf>
    <xf numFmtId="0" fontId="53" fillId="0" borderId="0" xfId="0" applyFont="1" applyAlignment="1">
      <alignment horizontal="left" wrapText="1"/>
    </xf>
    <xf numFmtId="2" fontId="58" fillId="0" borderId="14" xfId="0" applyNumberFormat="1" applyFont="1" applyBorder="1" applyAlignment="1">
      <alignment horizontal="center" vertical="center" wrapText="1"/>
    </xf>
    <xf numFmtId="165" fontId="58" fillId="0" borderId="14" xfId="0" applyNumberFormat="1" applyFont="1" applyBorder="1" applyAlignment="1">
      <alignment horizontal="center" vertical="center" wrapText="1"/>
    </xf>
    <xf numFmtId="165" fontId="58" fillId="0" borderId="15" xfId="0" applyNumberFormat="1" applyFont="1" applyBorder="1" applyAlignment="1">
      <alignment horizontal="center" vertical="center" wrapText="1"/>
    </xf>
    <xf numFmtId="0" fontId="54" fillId="0" borderId="2" xfId="0" applyFont="1" applyBorder="1"/>
    <xf numFmtId="165" fontId="54" fillId="0" borderId="2" xfId="0" applyNumberFormat="1" applyFont="1" applyBorder="1" applyAlignment="1">
      <alignment vertical="center"/>
    </xf>
    <xf numFmtId="165" fontId="54" fillId="0" borderId="3" xfId="0" applyNumberFormat="1" applyFont="1" applyBorder="1"/>
    <xf numFmtId="4" fontId="55" fillId="2" borderId="5" xfId="0" applyNumberFormat="1" applyFont="1" applyFill="1" applyBorder="1" applyAlignment="1">
      <alignment horizontal="right" vertical="center"/>
    </xf>
    <xf numFmtId="4" fontId="55" fillId="0" borderId="5" xfId="0" applyNumberFormat="1" applyFont="1" applyBorder="1" applyAlignment="1">
      <alignment horizontal="right" vertical="center"/>
    </xf>
    <xf numFmtId="4" fontId="56" fillId="0" borderId="5" xfId="0" applyNumberFormat="1" applyFont="1" applyBorder="1" applyAlignment="1">
      <alignment horizontal="right" vertical="center"/>
    </xf>
    <xf numFmtId="166" fontId="56" fillId="0" borderId="6" xfId="0" applyNumberFormat="1" applyFont="1" applyBorder="1" applyAlignment="1">
      <alignment horizontal="right" vertical="center"/>
    </xf>
    <xf numFmtId="4" fontId="63" fillId="0" borderId="5" xfId="0" applyNumberFormat="1" applyFont="1" applyBorder="1" applyAlignment="1">
      <alignment horizontal="right" vertical="center"/>
    </xf>
    <xf numFmtId="4" fontId="63" fillId="2" borderId="5" xfId="0" applyNumberFormat="1" applyFont="1" applyFill="1" applyBorder="1" applyAlignment="1">
      <alignment horizontal="right" vertical="center"/>
    </xf>
    <xf numFmtId="4" fontId="55" fillId="0" borderId="5" xfId="0" applyNumberFormat="1" applyFont="1" applyBorder="1" applyAlignment="1">
      <alignment horizontal="right" vertical="center" wrapText="1"/>
    </xf>
    <xf numFmtId="4" fontId="55" fillId="2" borderId="5" xfId="0" applyNumberFormat="1" applyFont="1" applyFill="1" applyBorder="1" applyAlignment="1">
      <alignment horizontal="right" vertical="center" wrapText="1"/>
    </xf>
    <xf numFmtId="0" fontId="64" fillId="0" borderId="0" xfId="0" applyFont="1"/>
    <xf numFmtId="0" fontId="4" fillId="0" borderId="0" xfId="0" applyFont="1"/>
    <xf numFmtId="0" fontId="65" fillId="0" borderId="0" xfId="0" applyFont="1"/>
    <xf numFmtId="4" fontId="55" fillId="2" borderId="8" xfId="0" applyNumberFormat="1" applyFont="1" applyFill="1" applyBorder="1" applyAlignment="1">
      <alignment horizontal="right" vertical="center"/>
    </xf>
    <xf numFmtId="4" fontId="55" fillId="0" borderId="8" xfId="0" applyNumberFormat="1" applyFont="1" applyBorder="1" applyAlignment="1">
      <alignment horizontal="right" vertical="center"/>
    </xf>
    <xf numFmtId="4" fontId="56" fillId="0" borderId="8" xfId="0" applyNumberFormat="1" applyFont="1" applyBorder="1" applyAlignment="1">
      <alignment horizontal="right" vertical="center"/>
    </xf>
    <xf numFmtId="166" fontId="56" fillId="0" borderId="9" xfId="0" applyNumberFormat="1" applyFont="1" applyBorder="1" applyAlignment="1">
      <alignment horizontal="right" vertical="center"/>
    </xf>
    <xf numFmtId="0" fontId="58" fillId="0" borderId="0" xfId="0" applyFont="1"/>
    <xf numFmtId="2" fontId="58" fillId="0" borderId="0" xfId="0" applyNumberFormat="1" applyFont="1" applyAlignment="1">
      <alignment horizontal="left"/>
    </xf>
    <xf numFmtId="2" fontId="58" fillId="0" borderId="0" xfId="0" applyNumberFormat="1" applyFont="1"/>
    <xf numFmtId="1" fontId="56" fillId="0" borderId="0" xfId="0" applyNumberFormat="1" applyFont="1"/>
    <xf numFmtId="2" fontId="54" fillId="0" borderId="0" xfId="0" applyNumberFormat="1" applyFont="1"/>
    <xf numFmtId="2" fontId="66" fillId="0" borderId="0" xfId="0" applyNumberFormat="1" applyFont="1"/>
    <xf numFmtId="2" fontId="67" fillId="0" borderId="0" xfId="0" applyNumberFormat="1" applyFont="1"/>
    <xf numFmtId="2" fontId="68" fillId="0" borderId="0" xfId="0" applyNumberFormat="1" applyFont="1"/>
    <xf numFmtId="0" fontId="68" fillId="0" borderId="0" xfId="0" applyFont="1"/>
    <xf numFmtId="49" fontId="43" fillId="21" borderId="4" xfId="0" applyNumberFormat="1" applyFont="1" applyFill="1" applyBorder="1" applyAlignment="1">
      <alignment horizontal="center" vertical="center"/>
    </xf>
    <xf numFmtId="0" fontId="43" fillId="21" borderId="5" xfId="0" applyFont="1" applyFill="1" applyBorder="1" applyAlignment="1">
      <alignment horizontal="left" vertical="center" wrapText="1"/>
    </xf>
    <xf numFmtId="0" fontId="43" fillId="21" borderId="5" xfId="0" applyFont="1" applyFill="1" applyBorder="1" applyAlignment="1">
      <alignment horizontal="center" vertical="center"/>
    </xf>
    <xf numFmtId="2" fontId="43" fillId="21" borderId="5" xfId="0" applyNumberFormat="1" applyFont="1" applyFill="1" applyBorder="1"/>
    <xf numFmtId="4" fontId="55" fillId="21" borderId="5" xfId="0" applyNumberFormat="1" applyFont="1" applyFill="1" applyBorder="1" applyAlignment="1">
      <alignment horizontal="right" vertical="center"/>
    </xf>
    <xf numFmtId="4" fontId="56" fillId="21" borderId="5" xfId="0" applyNumberFormat="1" applyFont="1" applyFill="1" applyBorder="1" applyAlignment="1">
      <alignment horizontal="right" vertical="center"/>
    </xf>
    <xf numFmtId="166" fontId="56" fillId="21" borderId="6" xfId="0" applyNumberFormat="1" applyFont="1" applyFill="1" applyBorder="1" applyAlignment="1">
      <alignment horizontal="right" vertical="center"/>
    </xf>
    <xf numFmtId="49" fontId="43" fillId="3" borderId="4" xfId="0" applyNumberFormat="1" applyFont="1" applyFill="1" applyBorder="1" applyAlignment="1">
      <alignment horizontal="center" vertical="center"/>
    </xf>
    <xf numFmtId="4" fontId="55" fillId="3" borderId="5" xfId="0" applyNumberFormat="1" applyFont="1" applyFill="1" applyBorder="1" applyAlignment="1">
      <alignment horizontal="right" vertical="center"/>
    </xf>
    <xf numFmtId="4" fontId="56" fillId="3" borderId="5" xfId="0" applyNumberFormat="1" applyFont="1" applyFill="1" applyBorder="1" applyAlignment="1">
      <alignment horizontal="right" vertical="center"/>
    </xf>
    <xf numFmtId="166" fontId="56" fillId="3" borderId="6" xfId="0" applyNumberFormat="1" applyFont="1" applyFill="1" applyBorder="1" applyAlignment="1">
      <alignment horizontal="right" vertical="center"/>
    </xf>
    <xf numFmtId="49" fontId="43" fillId="8" borderId="4" xfId="0" applyNumberFormat="1" applyFont="1" applyFill="1" applyBorder="1" applyAlignment="1">
      <alignment horizontal="center" vertical="center"/>
    </xf>
    <xf numFmtId="4" fontId="55" fillId="8" borderId="5" xfId="0" applyNumberFormat="1" applyFont="1" applyFill="1" applyBorder="1" applyAlignment="1">
      <alignment horizontal="right" vertical="center"/>
    </xf>
    <xf numFmtId="4" fontId="56" fillId="8" borderId="5" xfId="0" applyNumberFormat="1" applyFont="1" applyFill="1" applyBorder="1" applyAlignment="1">
      <alignment horizontal="right" vertical="center"/>
    </xf>
    <xf numFmtId="166" fontId="56" fillId="8" borderId="6" xfId="0" applyNumberFormat="1" applyFont="1" applyFill="1" applyBorder="1" applyAlignment="1">
      <alignment horizontal="right" vertical="center"/>
    </xf>
    <xf numFmtId="49" fontId="43" fillId="11" borderId="4" xfId="0" applyNumberFormat="1" applyFont="1" applyFill="1" applyBorder="1" applyAlignment="1">
      <alignment horizontal="center" vertical="center"/>
    </xf>
    <xf numFmtId="4" fontId="55" fillId="11" borderId="5" xfId="0" applyNumberFormat="1" applyFont="1" applyFill="1" applyBorder="1" applyAlignment="1">
      <alignment horizontal="right" vertical="center"/>
    </xf>
    <xf numFmtId="4" fontId="56" fillId="11" borderId="5" xfId="0" applyNumberFormat="1" applyFont="1" applyFill="1" applyBorder="1" applyAlignment="1">
      <alignment horizontal="right" vertical="center"/>
    </xf>
    <xf numFmtId="166" fontId="56" fillId="11" borderId="6" xfId="0" applyNumberFormat="1" applyFont="1" applyFill="1" applyBorder="1" applyAlignment="1">
      <alignment horizontal="right" vertical="center"/>
    </xf>
    <xf numFmtId="0" fontId="12" fillId="0" borderId="23"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xf>
    <xf numFmtId="0" fontId="7" fillId="0" borderId="42" xfId="0" applyFont="1" applyBorder="1" applyAlignment="1">
      <alignment horizontal="center"/>
    </xf>
    <xf numFmtId="0" fontId="69" fillId="0" borderId="7" xfId="0" applyFont="1" applyBorder="1" applyAlignment="1">
      <alignment horizontal="left" vertical="center" wrapText="1"/>
    </xf>
    <xf numFmtId="4" fontId="37" fillId="0" borderId="8" xfId="0" applyNumberFormat="1" applyFont="1" applyBorder="1" applyAlignment="1">
      <alignment horizontal="center"/>
    </xf>
    <xf numFmtId="4" fontId="37" fillId="0" borderId="9" xfId="0" applyNumberFormat="1" applyFont="1" applyBorder="1" applyAlignment="1">
      <alignment horizontal="center"/>
    </xf>
    <xf numFmtId="1" fontId="43" fillId="0" borderId="2" xfId="0" applyNumberFormat="1" applyFont="1" applyBorder="1" applyAlignment="1">
      <alignment horizontal="center" vertical="center" wrapText="1"/>
    </xf>
    <xf numFmtId="49" fontId="50" fillId="0" borderId="0" xfId="0" applyNumberFormat="1" applyFont="1"/>
    <xf numFmtId="0" fontId="50" fillId="0" borderId="0" xfId="0" applyFont="1"/>
    <xf numFmtId="0" fontId="50" fillId="0" borderId="0" xfId="0" applyFont="1" applyAlignment="1">
      <alignment horizontal="center" vertical="center"/>
    </xf>
    <xf numFmtId="0" fontId="73" fillId="0" borderId="0" xfId="0" applyFont="1"/>
    <xf numFmtId="4" fontId="65" fillId="0" borderId="0" xfId="0" applyNumberFormat="1" applyFont="1"/>
    <xf numFmtId="1" fontId="43" fillId="0" borderId="0" xfId="0" applyNumberFormat="1" applyFont="1"/>
    <xf numFmtId="1" fontId="7" fillId="0" borderId="0" xfId="0" applyNumberFormat="1" applyFont="1" applyAlignment="1">
      <alignment horizontal="left" wrapText="1"/>
    </xf>
    <xf numFmtId="1" fontId="46" fillId="0" borderId="0" xfId="0" applyNumberFormat="1" applyFont="1" applyAlignment="1">
      <alignment horizontal="left" wrapText="1"/>
    </xf>
    <xf numFmtId="1" fontId="46" fillId="0" borderId="0" xfId="0" applyNumberFormat="1" applyFont="1" applyAlignment="1">
      <alignment wrapText="1"/>
    </xf>
    <xf numFmtId="1" fontId="58" fillId="0" borderId="0" xfId="0" applyNumberFormat="1" applyFont="1" applyAlignment="1">
      <alignment wrapText="1"/>
    </xf>
    <xf numFmtId="1" fontId="7" fillId="0" borderId="0" xfId="0" applyNumberFormat="1" applyFont="1" applyAlignment="1">
      <alignment wrapText="1"/>
    </xf>
    <xf numFmtId="1" fontId="38" fillId="0" borderId="0" xfId="0" applyNumberFormat="1" applyFont="1" applyAlignment="1">
      <alignment horizontal="center"/>
    </xf>
    <xf numFmtId="1" fontId="56" fillId="0" borderId="0" xfId="0" applyNumberFormat="1" applyFont="1" applyAlignment="1">
      <alignment horizontal="center"/>
    </xf>
    <xf numFmtId="1" fontId="50" fillId="0" borderId="0" xfId="0" applyNumberFormat="1" applyFont="1" applyAlignment="1">
      <alignment horizontal="left" vertical="center"/>
    </xf>
    <xf numFmtId="1" fontId="47" fillId="0" borderId="10" xfId="0" applyNumberFormat="1" applyFont="1" applyBorder="1"/>
    <xf numFmtId="2" fontId="54" fillId="0" borderId="0" xfId="0" applyNumberFormat="1" applyFont="1" applyAlignment="1">
      <alignment horizontal="left" wrapText="1"/>
    </xf>
    <xf numFmtId="1" fontId="43" fillId="0" borderId="19" xfId="0" applyNumberFormat="1" applyFont="1" applyBorder="1" applyAlignment="1">
      <alignment horizontal="center" vertical="center" wrapText="1"/>
    </xf>
    <xf numFmtId="1" fontId="43" fillId="0" borderId="26" xfId="0" applyNumberFormat="1" applyFont="1" applyBorder="1" applyAlignment="1">
      <alignment horizontal="center" vertical="center" wrapText="1"/>
    </xf>
    <xf numFmtId="2" fontId="43" fillId="0" borderId="26" xfId="0" applyNumberFormat="1" applyFont="1" applyBorder="1" applyAlignment="1">
      <alignment horizontal="center" vertical="center" wrapText="1"/>
    </xf>
    <xf numFmtId="2" fontId="54" fillId="0" borderId="26" xfId="0" applyNumberFormat="1" applyFont="1" applyBorder="1" applyAlignment="1">
      <alignment horizontal="center" vertical="center" wrapText="1"/>
    </xf>
    <xf numFmtId="2" fontId="43" fillId="0" borderId="27" xfId="0" applyNumberFormat="1" applyFont="1" applyBorder="1" applyAlignment="1">
      <alignment horizontal="center" vertical="center" wrapText="1"/>
    </xf>
    <xf numFmtId="0" fontId="19" fillId="0" borderId="0" xfId="0" applyFont="1" applyAlignment="1">
      <alignment horizontal="center" vertical="center" wrapText="1"/>
    </xf>
    <xf numFmtId="9" fontId="46" fillId="0" borderId="19" xfId="19" applyFont="1" applyBorder="1" applyAlignment="1">
      <alignment horizontal="center" vertical="center" wrapText="1"/>
    </xf>
    <xf numFmtId="9" fontId="46" fillId="0" borderId="33" xfId="19" applyFont="1" applyBorder="1" applyAlignment="1">
      <alignment horizontal="center" vertical="center" wrapText="1"/>
    </xf>
    <xf numFmtId="9" fontId="46" fillId="0" borderId="26" xfId="19" applyFont="1" applyBorder="1" applyAlignment="1">
      <alignment horizontal="center" vertical="center" wrapText="1"/>
    </xf>
    <xf numFmtId="9" fontId="58" fillId="0" borderId="26" xfId="19" applyFont="1" applyBorder="1" applyAlignment="1">
      <alignment horizontal="center" vertical="center" wrapText="1"/>
    </xf>
    <xf numFmtId="10" fontId="46" fillId="0" borderId="26" xfId="19" applyNumberFormat="1" applyFont="1" applyBorder="1" applyAlignment="1">
      <alignment horizontal="center" vertical="center" wrapText="1"/>
    </xf>
    <xf numFmtId="9" fontId="46" fillId="0" borderId="26" xfId="19" applyFont="1" applyBorder="1" applyAlignment="1">
      <alignment horizontal="left" vertical="center" wrapText="1" indent="2"/>
    </xf>
    <xf numFmtId="9" fontId="46" fillId="0" borderId="27" xfId="19" applyFont="1" applyBorder="1" applyAlignment="1">
      <alignment horizontal="center" vertical="center" wrapText="1"/>
    </xf>
    <xf numFmtId="9" fontId="19" fillId="0" borderId="0" xfId="19" applyFont="1" applyAlignment="1">
      <alignment horizontal="center" vertical="center" wrapText="1"/>
    </xf>
    <xf numFmtId="1" fontId="43" fillId="0" borderId="1" xfId="0" applyNumberFormat="1" applyFont="1" applyBorder="1" applyAlignment="1">
      <alignment horizontal="center" vertical="center"/>
    </xf>
    <xf numFmtId="1" fontId="43" fillId="2" borderId="44" xfId="0" applyNumberFormat="1" applyFont="1" applyFill="1" applyBorder="1" applyAlignment="1">
      <alignment horizontal="left" vertical="center" wrapText="1"/>
    </xf>
    <xf numFmtId="9" fontId="43" fillId="0" borderId="26" xfId="19" applyFont="1" applyBorder="1" applyAlignment="1">
      <alignment horizontal="center" vertical="center" wrapText="1"/>
    </xf>
    <xf numFmtId="1" fontId="43" fillId="2" borderId="2" xfId="0" applyNumberFormat="1" applyFont="1" applyFill="1" applyBorder="1" applyAlignment="1">
      <alignment horizontal="center" vertical="center" wrapText="1"/>
    </xf>
    <xf numFmtId="164" fontId="45" fillId="2" borderId="2" xfId="0" applyNumberFormat="1" applyFont="1" applyFill="1" applyBorder="1" applyAlignment="1">
      <alignment horizontal="right" vertical="center"/>
    </xf>
    <xf numFmtId="2" fontId="55" fillId="22" borderId="26" xfId="0" applyNumberFormat="1" applyFont="1" applyFill="1" applyBorder="1" applyAlignment="1">
      <alignment horizontal="right" vertical="center"/>
    </xf>
    <xf numFmtId="2" fontId="45" fillId="22" borderId="2" xfId="0" applyNumberFormat="1" applyFont="1" applyFill="1" applyBorder="1" applyAlignment="1">
      <alignment horizontal="right" vertical="center"/>
    </xf>
    <xf numFmtId="2" fontId="45" fillId="0" borderId="2" xfId="0" applyNumberFormat="1" applyFont="1" applyBorder="1" applyAlignment="1">
      <alignment horizontal="right" vertical="center"/>
    </xf>
    <xf numFmtId="2" fontId="45" fillId="0" borderId="2" xfId="18" applyNumberFormat="1" applyFont="1" applyBorder="1" applyAlignment="1">
      <alignment horizontal="right" vertical="center"/>
    </xf>
    <xf numFmtId="2" fontId="38" fillId="0" borderId="2" xfId="0" applyNumberFormat="1" applyFont="1" applyBorder="1" applyAlignment="1">
      <alignment horizontal="right" vertical="center"/>
    </xf>
    <xf numFmtId="166" fontId="38" fillId="0" borderId="3" xfId="0" applyNumberFormat="1" applyFont="1" applyBorder="1" applyAlignment="1">
      <alignment horizontal="right" vertical="center"/>
    </xf>
    <xf numFmtId="1" fontId="43" fillId="0" borderId="4" xfId="0" applyNumberFormat="1" applyFont="1" applyBorder="1" applyAlignment="1">
      <alignment horizontal="center" vertical="center"/>
    </xf>
    <xf numFmtId="1" fontId="43" fillId="2" borderId="43" xfId="0" applyNumberFormat="1" applyFont="1" applyFill="1" applyBorder="1" applyAlignment="1">
      <alignment horizontal="left" vertical="center" wrapText="1"/>
    </xf>
    <xf numFmtId="1" fontId="43" fillId="2" borderId="43" xfId="0" applyNumberFormat="1" applyFont="1" applyFill="1" applyBorder="1" applyAlignment="1">
      <alignment horizontal="center" vertical="center" wrapText="1"/>
    </xf>
    <xf numFmtId="164" fontId="45" fillId="2" borderId="5" xfId="0" applyNumberFormat="1" applyFont="1" applyFill="1" applyBorder="1" applyAlignment="1">
      <alignment horizontal="right" vertical="center"/>
    </xf>
    <xf numFmtId="2" fontId="55" fillId="22" borderId="5" xfId="0" applyNumberFormat="1" applyFont="1" applyFill="1" applyBorder="1" applyAlignment="1">
      <alignment horizontal="right" vertical="center"/>
    </xf>
    <xf numFmtId="2" fontId="45" fillId="22" borderId="5" xfId="0" applyNumberFormat="1" applyFont="1" applyFill="1" applyBorder="1" applyAlignment="1">
      <alignment horizontal="right" vertical="center"/>
    </xf>
    <xf numFmtId="2" fontId="45" fillId="0" borderId="5" xfId="0" applyNumberFormat="1" applyFont="1" applyBorder="1" applyAlignment="1">
      <alignment horizontal="right" vertical="center"/>
    </xf>
    <xf numFmtId="2" fontId="45" fillId="0" borderId="5" xfId="18" applyNumberFormat="1" applyFont="1" applyBorder="1" applyAlignment="1">
      <alignment horizontal="right" vertical="center"/>
    </xf>
    <xf numFmtId="2" fontId="38" fillId="0" borderId="5" xfId="0" applyNumberFormat="1" applyFont="1" applyBorder="1" applyAlignment="1">
      <alignment horizontal="right" vertical="center"/>
    </xf>
    <xf numFmtId="166" fontId="38" fillId="0" borderId="6" xfId="0" applyNumberFormat="1" applyFont="1" applyBorder="1" applyAlignment="1">
      <alignment horizontal="right" vertical="center"/>
    </xf>
    <xf numFmtId="1" fontId="43" fillId="2" borderId="5" xfId="0" applyNumberFormat="1" applyFont="1" applyFill="1" applyBorder="1" applyAlignment="1">
      <alignment horizontal="center" vertical="center" wrapText="1"/>
    </xf>
    <xf numFmtId="1" fontId="43" fillId="0" borderId="7" xfId="0" applyNumberFormat="1" applyFont="1" applyBorder="1" applyAlignment="1">
      <alignment horizontal="center" vertical="center"/>
    </xf>
    <xf numFmtId="1" fontId="43" fillId="2" borderId="45" xfId="0" applyNumberFormat="1" applyFont="1" applyFill="1" applyBorder="1" applyAlignment="1">
      <alignment horizontal="left" vertical="center" wrapText="1"/>
    </xf>
    <xf numFmtId="1" fontId="43" fillId="2" borderId="45" xfId="0" applyNumberFormat="1" applyFont="1" applyFill="1" applyBorder="1" applyAlignment="1">
      <alignment horizontal="center" vertical="center" wrapText="1"/>
    </xf>
    <xf numFmtId="1" fontId="43" fillId="2" borderId="8" xfId="0" applyNumberFormat="1" applyFont="1" applyFill="1" applyBorder="1" applyAlignment="1">
      <alignment horizontal="center" vertical="center" wrapText="1"/>
    </xf>
    <xf numFmtId="164" fontId="45" fillId="2" borderId="8" xfId="0" applyNumberFormat="1" applyFont="1" applyFill="1" applyBorder="1" applyAlignment="1">
      <alignment horizontal="right" vertical="center"/>
    </xf>
    <xf numFmtId="2" fontId="55" fillId="22" borderId="8" xfId="0" applyNumberFormat="1" applyFont="1" applyFill="1" applyBorder="1" applyAlignment="1">
      <alignment horizontal="right" vertical="center"/>
    </xf>
    <xf numFmtId="2" fontId="45" fillId="22" borderId="8" xfId="0" applyNumberFormat="1" applyFont="1" applyFill="1" applyBorder="1" applyAlignment="1">
      <alignment horizontal="right" vertical="center"/>
    </xf>
    <xf numFmtId="2" fontId="45" fillId="0" borderId="8" xfId="0" applyNumberFormat="1" applyFont="1" applyBorder="1" applyAlignment="1">
      <alignment horizontal="right" vertical="center"/>
    </xf>
    <xf numFmtId="2" fontId="45" fillId="0" borderId="8" xfId="18" applyNumberFormat="1" applyFont="1" applyBorder="1" applyAlignment="1">
      <alignment horizontal="right" vertical="center"/>
    </xf>
    <xf numFmtId="2" fontId="38" fillId="0" borderId="8" xfId="0" applyNumberFormat="1" applyFont="1" applyBorder="1" applyAlignment="1">
      <alignment horizontal="right" vertical="center"/>
    </xf>
    <xf numFmtId="166" fontId="38" fillId="0" borderId="9" xfId="0" applyNumberFormat="1" applyFont="1" applyBorder="1" applyAlignment="1">
      <alignment horizontal="right" vertical="center"/>
    </xf>
    <xf numFmtId="1" fontId="47" fillId="0" borderId="0" xfId="0" applyNumberFormat="1" applyFont="1" applyAlignment="1">
      <alignment horizontal="center" wrapText="1"/>
    </xf>
    <xf numFmtId="1" fontId="57" fillId="0" borderId="0" xfId="0" applyNumberFormat="1" applyFont="1" applyAlignment="1">
      <alignment horizontal="center" wrapText="1"/>
    </xf>
    <xf numFmtId="1" fontId="37" fillId="0" borderId="0" xfId="0" applyNumberFormat="1" applyFont="1" applyAlignment="1">
      <alignment horizontal="center" wrapText="1"/>
    </xf>
    <xf numFmtId="1" fontId="7" fillId="0" borderId="0" xfId="0" applyNumberFormat="1" applyFont="1"/>
    <xf numFmtId="164" fontId="54" fillId="0" borderId="0" xfId="0" applyNumberFormat="1" applyFont="1"/>
    <xf numFmtId="1" fontId="14" fillId="0" borderId="0" xfId="0" applyNumberFormat="1" applyFont="1"/>
    <xf numFmtId="1" fontId="24" fillId="0" borderId="0" xfId="0" applyNumberFormat="1" applyFont="1" applyAlignment="1">
      <alignment horizontal="left" wrapText="1"/>
    </xf>
    <xf numFmtId="2" fontId="74" fillId="0" borderId="0" xfId="0" applyNumberFormat="1" applyFont="1"/>
    <xf numFmtId="1" fontId="7" fillId="0" borderId="0" xfId="0" applyNumberFormat="1" applyFont="1" applyAlignment="1">
      <alignment horizontal="right" vertical="center"/>
    </xf>
    <xf numFmtId="1" fontId="46" fillId="0" borderId="0" xfId="0" applyNumberFormat="1" applyFont="1" applyAlignment="1">
      <alignment horizontal="left"/>
    </xf>
    <xf numFmtId="1" fontId="46" fillId="0" borderId="0" xfId="0" applyNumberFormat="1" applyFont="1" applyAlignment="1">
      <alignment horizontal="center"/>
    </xf>
    <xf numFmtId="1" fontId="58" fillId="0" borderId="0" xfId="0" applyNumberFormat="1" applyFont="1" applyAlignment="1">
      <alignment horizontal="center"/>
    </xf>
    <xf numFmtId="2" fontId="43" fillId="0" borderId="0" xfId="0" applyNumberFormat="1" applyFont="1" applyAlignment="1">
      <alignment horizontal="left"/>
    </xf>
    <xf numFmtId="1" fontId="47" fillId="0" borderId="0" xfId="0" applyNumberFormat="1" applyFont="1"/>
    <xf numFmtId="1" fontId="47" fillId="0" borderId="0" xfId="0" applyNumberFormat="1" applyFont="1" applyAlignment="1">
      <alignment wrapText="1"/>
    </xf>
    <xf numFmtId="1" fontId="57" fillId="0" borderId="0" xfId="0" applyNumberFormat="1" applyFont="1" applyAlignment="1">
      <alignment wrapText="1"/>
    </xf>
    <xf numFmtId="2" fontId="47" fillId="0" borderId="0" xfId="0" applyNumberFormat="1" applyFont="1" applyAlignment="1">
      <alignment horizontal="right" wrapText="1"/>
    </xf>
    <xf numFmtId="0" fontId="4" fillId="0" borderId="0" xfId="0" applyFont="1" applyAlignment="1">
      <alignment horizontal="center" vertical="center" wrapText="1"/>
    </xf>
    <xf numFmtId="1" fontId="43" fillId="0" borderId="13" xfId="0" applyNumberFormat="1" applyFont="1" applyBorder="1" applyAlignment="1">
      <alignment horizontal="center" vertical="center" wrapText="1"/>
    </xf>
    <xf numFmtId="1" fontId="43" fillId="0" borderId="14" xfId="0" applyNumberFormat="1" applyFont="1" applyBorder="1" applyAlignment="1">
      <alignment vertical="center" wrapText="1"/>
    </xf>
    <xf numFmtId="1" fontId="43" fillId="0" borderId="14" xfId="0" applyNumberFormat="1" applyFont="1" applyBorder="1" applyAlignment="1">
      <alignment horizontal="center" vertical="center" wrapText="1"/>
    </xf>
    <xf numFmtId="2" fontId="54" fillId="0" borderId="14" xfId="0" applyNumberFormat="1" applyFont="1" applyBorder="1" applyAlignment="1">
      <alignment horizontal="center" vertical="center" wrapText="1"/>
    </xf>
    <xf numFmtId="2" fontId="43" fillId="0" borderId="14" xfId="0" applyNumberFormat="1" applyFont="1" applyBorder="1" applyAlignment="1">
      <alignment horizontal="center" vertical="center" wrapText="1"/>
    </xf>
    <xf numFmtId="2" fontId="46" fillId="0" borderId="14" xfId="20" applyNumberFormat="1" applyFont="1" applyBorder="1" applyAlignment="1">
      <alignment horizontal="center" vertical="center" wrapText="1"/>
    </xf>
    <xf numFmtId="10" fontId="46" fillId="0" borderId="14" xfId="21" applyNumberFormat="1" applyFont="1" applyFill="1" applyBorder="1" applyAlignment="1">
      <alignment horizontal="center" vertical="center" wrapText="1"/>
    </xf>
    <xf numFmtId="2" fontId="43" fillId="0" borderId="14" xfId="0" applyNumberFormat="1" applyFont="1" applyBorder="1" applyAlignment="1">
      <alignment horizontal="left" vertical="center" wrapText="1" indent="1"/>
    </xf>
    <xf numFmtId="9" fontId="46" fillId="0" borderId="14" xfId="21" applyFont="1" applyBorder="1" applyAlignment="1">
      <alignment horizontal="center" vertical="center" wrapText="1"/>
    </xf>
    <xf numFmtId="2" fontId="43" fillId="0" borderId="15" xfId="0" applyNumberFormat="1" applyFont="1" applyBorder="1" applyAlignment="1">
      <alignment horizontal="center" vertical="center" wrapText="1"/>
    </xf>
    <xf numFmtId="1" fontId="43" fillId="0" borderId="2" xfId="0" applyNumberFormat="1" applyFont="1" applyBorder="1" applyAlignment="1">
      <alignment horizontal="left" vertical="center" wrapText="1"/>
    </xf>
    <xf numFmtId="1" fontId="54" fillId="0" borderId="2" xfId="0" applyNumberFormat="1" applyFont="1" applyBorder="1" applyAlignment="1">
      <alignment horizontal="center" vertical="center" wrapText="1"/>
    </xf>
    <xf numFmtId="1" fontId="40" fillId="0" borderId="2" xfId="0" applyNumberFormat="1" applyFont="1" applyBorder="1" applyAlignment="1">
      <alignment horizontal="center" vertical="center" wrapText="1"/>
    </xf>
    <xf numFmtId="166" fontId="55" fillId="0" borderId="2" xfId="0" applyNumberFormat="1" applyFont="1" applyBorder="1" applyAlignment="1">
      <alignment horizontal="right" vertical="center"/>
    </xf>
    <xf numFmtId="166" fontId="45" fillId="0" borderId="2" xfId="0" applyNumberFormat="1" applyFont="1" applyBorder="1" applyAlignment="1">
      <alignment horizontal="right" vertical="center"/>
    </xf>
    <xf numFmtId="166" fontId="38" fillId="0" borderId="2" xfId="0" applyNumberFormat="1" applyFont="1" applyBorder="1" applyAlignment="1">
      <alignment horizontal="right" vertical="center"/>
    </xf>
    <xf numFmtId="1" fontId="43" fillId="0" borderId="5" xfId="0" applyNumberFormat="1" applyFont="1" applyBorder="1" applyAlignment="1">
      <alignment horizontal="left" vertical="center" wrapText="1"/>
    </xf>
    <xf numFmtId="1" fontId="43" fillId="0" borderId="5" xfId="0" applyNumberFormat="1" applyFont="1" applyBorder="1" applyAlignment="1">
      <alignment horizontal="center" vertical="center" wrapText="1"/>
    </xf>
    <xf numFmtId="166" fontId="55" fillId="0" borderId="5" xfId="0" applyNumberFormat="1" applyFont="1" applyBorder="1" applyAlignment="1">
      <alignment horizontal="right" vertical="center"/>
    </xf>
    <xf numFmtId="166" fontId="55" fillId="0" borderId="32" xfId="0" applyNumberFormat="1" applyFont="1" applyBorder="1" applyAlignment="1">
      <alignment horizontal="right" vertical="center"/>
    </xf>
    <xf numFmtId="166" fontId="45" fillId="0" borderId="5" xfId="0" applyNumberFormat="1" applyFont="1" applyBorder="1" applyAlignment="1">
      <alignment horizontal="right" vertical="center"/>
    </xf>
    <xf numFmtId="166" fontId="38" fillId="0" borderId="5" xfId="0" applyNumberFormat="1" applyFont="1" applyBorder="1" applyAlignment="1">
      <alignment horizontal="right" vertical="center"/>
    </xf>
    <xf numFmtId="1" fontId="43" fillId="0" borderId="8" xfId="0" applyNumberFormat="1" applyFont="1" applyBorder="1" applyAlignment="1">
      <alignment horizontal="left" vertical="center" wrapText="1"/>
    </xf>
    <xf numFmtId="1" fontId="43" fillId="0" borderId="8" xfId="0" applyNumberFormat="1" applyFont="1" applyBorder="1" applyAlignment="1">
      <alignment horizontal="center" vertical="center" wrapText="1"/>
    </xf>
    <xf numFmtId="166" fontId="55" fillId="0" borderId="8" xfId="0" applyNumberFormat="1" applyFont="1" applyBorder="1" applyAlignment="1">
      <alignment horizontal="right" vertical="center"/>
    </xf>
    <xf numFmtId="166" fontId="55" fillId="0" borderId="16" xfId="0" applyNumberFormat="1" applyFont="1" applyBorder="1" applyAlignment="1">
      <alignment horizontal="right" vertical="center"/>
    </xf>
    <xf numFmtId="166" fontId="45" fillId="0" borderId="8" xfId="0" applyNumberFormat="1" applyFont="1" applyBorder="1" applyAlignment="1">
      <alignment horizontal="right" vertical="center"/>
    </xf>
    <xf numFmtId="166" fontId="38" fillId="0" borderId="8" xfId="0" applyNumberFormat="1" applyFont="1" applyBorder="1" applyAlignment="1">
      <alignment horizontal="right" vertical="center"/>
    </xf>
    <xf numFmtId="1" fontId="43" fillId="0" borderId="0" xfId="0" applyNumberFormat="1" applyFont="1" applyAlignment="1">
      <alignment horizontal="center" vertical="center"/>
    </xf>
    <xf numFmtId="1" fontId="43" fillId="0" borderId="0" xfId="0" applyNumberFormat="1" applyFont="1" applyAlignment="1">
      <alignment horizontal="left" vertical="center" wrapText="1"/>
    </xf>
    <xf numFmtId="1" fontId="43" fillId="0" borderId="0" xfId="0" applyNumberFormat="1" applyFont="1" applyAlignment="1">
      <alignment horizontal="center" vertical="center" wrapText="1"/>
    </xf>
    <xf numFmtId="166" fontId="38" fillId="0" borderId="0" xfId="0" applyNumberFormat="1" applyFont="1" applyAlignment="1">
      <alignment horizontal="right" vertical="center"/>
    </xf>
    <xf numFmtId="166" fontId="55" fillId="0" borderId="0" xfId="0" applyNumberFormat="1" applyFont="1" applyAlignment="1">
      <alignment horizontal="right" vertical="center"/>
    </xf>
    <xf numFmtId="166" fontId="45" fillId="0" borderId="0" xfId="0" applyNumberFormat="1" applyFont="1" applyAlignment="1">
      <alignment horizontal="right" vertical="center"/>
    </xf>
    <xf numFmtId="1" fontId="4" fillId="0" borderId="0" xfId="0" applyNumberFormat="1" applyFont="1"/>
    <xf numFmtId="2" fontId="27" fillId="0" borderId="0" xfId="0" applyNumberFormat="1" applyFont="1"/>
    <xf numFmtId="4" fontId="68" fillId="0" borderId="0" xfId="0" applyNumberFormat="1" applyFont="1"/>
    <xf numFmtId="4" fontId="76" fillId="0" borderId="0" xfId="0" applyNumberFormat="1" applyFont="1"/>
    <xf numFmtId="1" fontId="7" fillId="0" borderId="0" xfId="0" applyNumberFormat="1" applyFont="1" applyAlignment="1">
      <alignment horizontal="center" vertical="center"/>
    </xf>
    <xf numFmtId="1" fontId="46" fillId="0" borderId="0" xfId="0" applyNumberFormat="1" applyFont="1" applyAlignment="1">
      <alignment horizontal="left" vertical="center"/>
    </xf>
    <xf numFmtId="1" fontId="46" fillId="0" borderId="0" xfId="0" applyNumberFormat="1" applyFont="1" applyAlignment="1">
      <alignment horizontal="center" vertical="center"/>
    </xf>
    <xf numFmtId="1" fontId="59" fillId="0" borderId="0" xfId="0" applyNumberFormat="1" applyFont="1" applyAlignment="1">
      <alignment horizontal="left" vertical="center"/>
    </xf>
    <xf numFmtId="1" fontId="47" fillId="0" borderId="10" xfId="0" applyNumberFormat="1" applyFont="1" applyBorder="1" applyAlignment="1">
      <alignment wrapText="1"/>
    </xf>
    <xf numFmtId="1" fontId="57" fillId="0" borderId="10" xfId="0" applyNumberFormat="1" applyFont="1" applyBorder="1" applyAlignment="1">
      <alignment wrapText="1"/>
    </xf>
    <xf numFmtId="1" fontId="43" fillId="0" borderId="26" xfId="0" applyNumberFormat="1" applyFont="1" applyBorder="1" applyAlignment="1">
      <alignment horizontal="center" wrapText="1"/>
    </xf>
    <xf numFmtId="2" fontId="58" fillId="0" borderId="26" xfId="0" applyNumberFormat="1" applyFont="1" applyBorder="1" applyAlignment="1">
      <alignment horizontal="center" vertical="center" wrapText="1"/>
    </xf>
    <xf numFmtId="2" fontId="46" fillId="0" borderId="26" xfId="20" applyNumberFormat="1" applyFont="1" applyBorder="1" applyAlignment="1">
      <alignment horizontal="center" vertical="center" wrapText="1"/>
    </xf>
    <xf numFmtId="10" fontId="58" fillId="0" borderId="26" xfId="21" applyNumberFormat="1" applyFont="1" applyFill="1" applyBorder="1" applyAlignment="1">
      <alignment horizontal="center" vertical="center" wrapText="1"/>
    </xf>
    <xf numFmtId="2" fontId="46" fillId="0" borderId="26" xfId="0" applyNumberFormat="1" applyFont="1" applyBorder="1" applyAlignment="1">
      <alignment horizontal="left" vertical="center" wrapText="1" indent="1"/>
    </xf>
    <xf numFmtId="9" fontId="46" fillId="0" borderId="26" xfId="21" applyFont="1" applyBorder="1" applyAlignment="1">
      <alignment horizontal="center" vertical="center" wrapText="1"/>
    </xf>
    <xf numFmtId="2" fontId="46" fillId="0" borderId="27" xfId="0" applyNumberFormat="1" applyFont="1" applyBorder="1" applyAlignment="1">
      <alignment horizontal="center" vertical="center" wrapText="1"/>
    </xf>
    <xf numFmtId="166" fontId="45" fillId="0" borderId="2" xfId="0" applyNumberFormat="1" applyFont="1" applyBorder="1" applyAlignment="1">
      <alignment horizontal="right" vertical="center" wrapText="1"/>
    </xf>
    <xf numFmtId="166" fontId="45" fillId="0" borderId="5" xfId="0" applyNumberFormat="1" applyFont="1" applyBorder="1" applyAlignment="1">
      <alignment horizontal="right" vertical="center" wrapText="1"/>
    </xf>
    <xf numFmtId="166" fontId="45" fillId="0" borderId="8" xfId="0" applyNumberFormat="1" applyFont="1" applyBorder="1" applyAlignment="1">
      <alignment horizontal="right" vertical="center" wrapText="1"/>
    </xf>
    <xf numFmtId="166" fontId="56" fillId="0" borderId="8" xfId="0" applyNumberFormat="1" applyFont="1" applyBorder="1" applyAlignment="1">
      <alignment horizontal="right" vertical="center"/>
    </xf>
    <xf numFmtId="1" fontId="40" fillId="0" borderId="0" xfId="0" applyNumberFormat="1" applyFont="1" applyAlignment="1">
      <alignment horizontal="left" vertical="center" wrapText="1"/>
    </xf>
    <xf numFmtId="1" fontId="40"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66" fontId="43" fillId="2" borderId="0" xfId="0" applyNumberFormat="1" applyFont="1" applyFill="1" applyAlignment="1">
      <alignment horizontal="center" vertical="center" wrapText="1"/>
    </xf>
    <xf numFmtId="166" fontId="54" fillId="22" borderId="0" xfId="0" applyNumberFormat="1" applyFont="1" applyFill="1" applyAlignment="1">
      <alignment horizontal="center" vertical="center"/>
    </xf>
    <xf numFmtId="166" fontId="43" fillId="22" borderId="0" xfId="0" applyNumberFormat="1" applyFont="1" applyFill="1" applyAlignment="1">
      <alignment horizontal="center" vertical="center"/>
    </xf>
    <xf numFmtId="166" fontId="43" fillId="0" borderId="0" xfId="0" applyNumberFormat="1" applyFont="1" applyAlignment="1">
      <alignment horizontal="center" vertical="center"/>
    </xf>
    <xf numFmtId="166" fontId="46" fillId="0" borderId="0" xfId="0" applyNumberFormat="1" applyFont="1" applyAlignment="1">
      <alignment horizontal="center" vertical="center"/>
    </xf>
    <xf numFmtId="1" fontId="77" fillId="0" borderId="0" xfId="0" applyNumberFormat="1" applyFont="1" applyAlignment="1">
      <alignment wrapText="1"/>
    </xf>
    <xf numFmtId="4" fontId="46" fillId="0" borderId="0" xfId="0" applyNumberFormat="1" applyFont="1"/>
    <xf numFmtId="164" fontId="68" fillId="0" borderId="0" xfId="0" applyNumberFormat="1" applyFont="1"/>
    <xf numFmtId="4" fontId="27" fillId="0" borderId="0" xfId="0" applyNumberFormat="1" applyFont="1"/>
    <xf numFmtId="0" fontId="54" fillId="0" borderId="0" xfId="0" applyFont="1" applyAlignment="1">
      <alignment horizontal="left" wrapText="1"/>
    </xf>
    <xf numFmtId="4" fontId="43" fillId="0" borderId="0" xfId="0" applyNumberFormat="1" applyFont="1"/>
    <xf numFmtId="2" fontId="46" fillId="0" borderId="0" xfId="0" applyNumberFormat="1" applyFont="1" applyAlignment="1">
      <alignment horizontal="left" wrapText="1"/>
    </xf>
    <xf numFmtId="164" fontId="43" fillId="0" borderId="26" xfId="0" applyNumberFormat="1" applyFont="1" applyBorder="1" applyAlignment="1">
      <alignment horizontal="center" vertical="center" wrapText="1"/>
    </xf>
    <xf numFmtId="10" fontId="46" fillId="0" borderId="26" xfId="0" applyNumberFormat="1" applyFont="1" applyBorder="1" applyAlignment="1">
      <alignment horizontal="center" vertical="center" wrapText="1"/>
    </xf>
    <xf numFmtId="1" fontId="43" fillId="2" borderId="2" xfId="0" applyNumberFormat="1" applyFont="1" applyFill="1" applyBorder="1" applyAlignment="1">
      <alignment horizontal="left" vertical="center" wrapText="1"/>
    </xf>
    <xf numFmtId="0" fontId="43" fillId="2" borderId="2" xfId="0" applyFont="1" applyFill="1" applyBorder="1" applyAlignment="1">
      <alignment horizontal="center" vertical="center" wrapText="1"/>
    </xf>
    <xf numFmtId="166" fontId="45" fillId="2" borderId="2" xfId="0" applyNumberFormat="1" applyFont="1" applyFill="1" applyBorder="1" applyAlignment="1">
      <alignment horizontal="right" vertical="center"/>
    </xf>
    <xf numFmtId="166" fontId="55" fillId="2" borderId="2" xfId="0" applyNumberFormat="1" applyFont="1" applyFill="1" applyBorder="1" applyAlignment="1">
      <alignment horizontal="right" vertical="center"/>
    </xf>
    <xf numFmtId="166" fontId="45" fillId="22" borderId="2" xfId="0" applyNumberFormat="1" applyFont="1" applyFill="1" applyBorder="1" applyAlignment="1">
      <alignment horizontal="right" vertical="center"/>
    </xf>
    <xf numFmtId="166" fontId="45" fillId="0" borderId="20" xfId="0" applyNumberFormat="1" applyFont="1" applyBorder="1" applyAlignment="1">
      <alignment horizontal="right" vertical="center"/>
    </xf>
    <xf numFmtId="0" fontId="43" fillId="0" borderId="7" xfId="0" applyFont="1" applyBorder="1" applyAlignment="1">
      <alignment horizontal="center" vertical="center" wrapText="1"/>
    </xf>
    <xf numFmtId="0" fontId="78" fillId="2" borderId="8" xfId="0" applyFont="1" applyFill="1" applyBorder="1" applyAlignment="1">
      <alignment horizontal="left" vertical="center" wrapText="1"/>
    </xf>
    <xf numFmtId="0" fontId="78" fillId="2" borderId="8" xfId="0" applyFont="1" applyFill="1" applyBorder="1" applyAlignment="1">
      <alignment horizontal="center" vertical="center" wrapText="1"/>
    </xf>
    <xf numFmtId="166" fontId="55" fillId="2" borderId="16" xfId="0" applyNumberFormat="1" applyFont="1" applyFill="1" applyBorder="1" applyAlignment="1">
      <alignment horizontal="right" vertical="center"/>
    </xf>
    <xf numFmtId="166" fontId="45" fillId="22" borderId="8" xfId="0" applyNumberFormat="1" applyFont="1" applyFill="1" applyBorder="1" applyAlignment="1">
      <alignment horizontal="right" vertical="center"/>
    </xf>
    <xf numFmtId="166" fontId="38" fillId="0" borderId="16" xfId="0" applyNumberFormat="1" applyFont="1" applyBorder="1" applyAlignment="1">
      <alignment horizontal="right" vertical="center"/>
    </xf>
    <xf numFmtId="166" fontId="45" fillId="0" borderId="38" xfId="0" applyNumberFormat="1" applyFont="1" applyBorder="1" applyAlignment="1">
      <alignment horizontal="right" vertical="center"/>
    </xf>
    <xf numFmtId="1" fontId="7" fillId="0" borderId="0" xfId="0" applyNumberFormat="1" applyFont="1" applyAlignment="1">
      <alignment vertical="top"/>
    </xf>
    <xf numFmtId="1" fontId="54" fillId="0" borderId="0" xfId="0" applyNumberFormat="1" applyFont="1"/>
    <xf numFmtId="0" fontId="81" fillId="0" borderId="0" xfId="0" applyFont="1" applyAlignment="1">
      <alignment horizontal="left" wrapText="1"/>
    </xf>
    <xf numFmtId="1" fontId="75" fillId="0" borderId="0" xfId="0" applyNumberFormat="1" applyFont="1" applyAlignment="1">
      <alignment horizontal="right" wrapText="1"/>
    </xf>
    <xf numFmtId="1" fontId="75" fillId="0" borderId="0" xfId="0" applyNumberFormat="1" applyFont="1" applyAlignment="1">
      <alignment horizontal="left" wrapText="1"/>
    </xf>
    <xf numFmtId="2" fontId="80" fillId="0" borderId="0" xfId="0" applyNumberFormat="1" applyFont="1" applyAlignment="1">
      <alignment horizontal="left" wrapText="1"/>
    </xf>
    <xf numFmtId="1" fontId="75" fillId="0" borderId="0" xfId="0" applyNumberFormat="1" applyFont="1" applyAlignment="1">
      <alignment horizontal="center" vertical="top" wrapText="1"/>
    </xf>
    <xf numFmtId="1" fontId="75" fillId="0" borderId="0" xfId="0" applyNumberFormat="1" applyFont="1" applyAlignment="1">
      <alignment horizontal="center" wrapText="1"/>
    </xf>
    <xf numFmtId="164" fontId="46" fillId="0" borderId="0" xfId="0" applyNumberFormat="1" applyFont="1" applyAlignment="1">
      <alignment horizontal="center" wrapText="1"/>
    </xf>
    <xf numFmtId="1" fontId="79" fillId="0" borderId="0" xfId="0" applyNumberFormat="1" applyFont="1" applyAlignment="1">
      <alignment horizontal="left" vertical="center"/>
    </xf>
    <xf numFmtId="1" fontId="44" fillId="0" borderId="10" xfId="0" applyNumberFormat="1" applyFont="1" applyBorder="1"/>
    <xf numFmtId="2" fontId="43" fillId="0" borderId="0" xfId="0" applyNumberFormat="1" applyFont="1" applyAlignment="1">
      <alignment horizontal="center" vertical="center" wrapText="1"/>
    </xf>
    <xf numFmtId="1" fontId="45" fillId="0" borderId="13" xfId="0" applyNumberFormat="1" applyFont="1" applyBorder="1" applyAlignment="1">
      <alignment horizontal="center" vertical="center" wrapText="1"/>
    </xf>
    <xf numFmtId="1" fontId="45" fillId="0" borderId="14" xfId="0" applyNumberFormat="1" applyFont="1" applyBorder="1" applyAlignment="1">
      <alignment horizontal="center" vertical="center" wrapText="1"/>
    </xf>
    <xf numFmtId="2" fontId="45" fillId="0" borderId="14" xfId="0" applyNumberFormat="1" applyFont="1" applyBorder="1" applyAlignment="1">
      <alignment horizontal="center" vertical="center" wrapText="1"/>
    </xf>
    <xf numFmtId="2" fontId="55" fillId="0" borderId="14" xfId="0" applyNumberFormat="1" applyFont="1" applyBorder="1" applyAlignment="1">
      <alignment horizontal="center" vertical="center" wrapText="1"/>
    </xf>
    <xf numFmtId="2" fontId="45" fillId="0" borderId="15" xfId="0" applyNumberFormat="1" applyFont="1" applyBorder="1" applyAlignment="1">
      <alignment horizontal="center" vertical="center" wrapText="1"/>
    </xf>
    <xf numFmtId="1" fontId="38" fillId="0" borderId="14" xfId="0" applyNumberFormat="1" applyFont="1" applyBorder="1" applyAlignment="1">
      <alignment horizontal="center" vertical="center" wrapText="1"/>
    </xf>
    <xf numFmtId="2" fontId="38" fillId="0" borderId="14" xfId="0" applyNumberFormat="1" applyFont="1" applyBorder="1" applyAlignment="1">
      <alignment horizontal="center" vertical="distributed" wrapText="1"/>
    </xf>
    <xf numFmtId="2" fontId="56" fillId="0" borderId="14" xfId="0" applyNumberFormat="1" applyFont="1" applyBorder="1" applyAlignment="1">
      <alignment horizontal="center" vertical="distributed" wrapText="1"/>
    </xf>
    <xf numFmtId="2" fontId="38" fillId="0" borderId="14" xfId="0" applyNumberFormat="1" applyFont="1" applyBorder="1" applyAlignment="1">
      <alignment horizontal="center" vertical="center" wrapText="1"/>
    </xf>
    <xf numFmtId="0" fontId="38" fillId="0" borderId="46" xfId="0" applyFont="1" applyBorder="1" applyAlignment="1">
      <alignment horizontal="center" vertical="center" wrapText="1"/>
    </xf>
    <xf numFmtId="167" fontId="38" fillId="0" borderId="14" xfId="0" applyNumberFormat="1" applyFont="1" applyBorder="1" applyAlignment="1">
      <alignment horizontal="center" vertical="center" wrapText="1"/>
    </xf>
    <xf numFmtId="10" fontId="56" fillId="0" borderId="14" xfId="0" applyNumberFormat="1" applyFont="1" applyBorder="1" applyAlignment="1">
      <alignment horizontal="center" vertical="center" wrapText="1"/>
    </xf>
    <xf numFmtId="167" fontId="55" fillId="0" borderId="14" xfId="0" applyNumberFormat="1" applyFont="1" applyBorder="1" applyAlignment="1">
      <alignment horizontal="center" vertical="center" wrapText="1"/>
    </xf>
    <xf numFmtId="168" fontId="56" fillId="0" borderId="14" xfId="0" applyNumberFormat="1" applyFont="1" applyBorder="1" applyAlignment="1">
      <alignment horizontal="center" vertical="center" wrapText="1"/>
    </xf>
    <xf numFmtId="2" fontId="38" fillId="0" borderId="15" xfId="0" applyNumberFormat="1" applyFont="1" applyBorder="1" applyAlignment="1">
      <alignment horizontal="center" vertical="center" wrapText="1"/>
    </xf>
    <xf numFmtId="1" fontId="45" fillId="0" borderId="1" xfId="0" applyNumberFormat="1" applyFont="1" applyBorder="1" applyAlignment="1">
      <alignment horizontal="center" vertical="center" wrapText="1"/>
    </xf>
    <xf numFmtId="0" fontId="45" fillId="0" borderId="44" xfId="0" applyFont="1" applyBorder="1" applyAlignment="1">
      <alignment horizontal="left" vertical="center" wrapText="1"/>
    </xf>
    <xf numFmtId="1" fontId="45" fillId="0" borderId="2" xfId="0" applyNumberFormat="1" applyFont="1" applyBorder="1" applyAlignment="1">
      <alignment horizontal="center" vertical="center" wrapText="1"/>
    </xf>
    <xf numFmtId="2" fontId="45" fillId="0" borderId="2" xfId="0" applyNumberFormat="1" applyFont="1" applyBorder="1" applyAlignment="1">
      <alignment horizontal="center" vertical="center" wrapText="1"/>
    </xf>
    <xf numFmtId="169" fontId="55" fillId="0" borderId="2" xfId="0" applyNumberFormat="1" applyFont="1" applyBorder="1" applyAlignment="1">
      <alignment horizontal="center" vertical="center"/>
    </xf>
    <xf numFmtId="4" fontId="45" fillId="0" borderId="26" xfId="0" applyNumberFormat="1" applyFont="1" applyBorder="1" applyAlignment="1">
      <alignment vertical="center"/>
    </xf>
    <xf numFmtId="4" fontId="45" fillId="0" borderId="26" xfId="0" applyNumberFormat="1" applyFont="1" applyBorder="1" applyAlignment="1">
      <alignment horizontal="right" vertical="center"/>
    </xf>
    <xf numFmtId="4" fontId="45" fillId="0" borderId="2" xfId="0" applyNumberFormat="1" applyFont="1" applyBorder="1" applyAlignment="1">
      <alignment horizontal="right" vertical="center"/>
    </xf>
    <xf numFmtId="4" fontId="38" fillId="0" borderId="2" xfId="0" applyNumberFormat="1" applyFont="1" applyBorder="1" applyAlignment="1">
      <alignment horizontal="right" vertical="center"/>
    </xf>
    <xf numFmtId="2" fontId="45" fillId="0" borderId="26" xfId="0" applyNumberFormat="1" applyFont="1" applyBorder="1" applyAlignment="1">
      <alignment horizontal="right" vertical="center"/>
    </xf>
    <xf numFmtId="1" fontId="45" fillId="0" borderId="12" xfId="0" applyNumberFormat="1" applyFont="1" applyBorder="1" applyAlignment="1">
      <alignment horizontal="center" vertical="center" wrapText="1"/>
    </xf>
    <xf numFmtId="0" fontId="55" fillId="0" borderId="47" xfId="0" applyFont="1" applyBorder="1" applyAlignment="1">
      <alignment horizontal="left" vertical="center" wrapText="1"/>
    </xf>
    <xf numFmtId="1" fontId="45" fillId="0" borderId="32" xfId="0" applyNumberFormat="1" applyFont="1" applyBorder="1" applyAlignment="1">
      <alignment horizontal="center" vertical="center" wrapText="1"/>
    </xf>
    <xf numFmtId="2" fontId="45" fillId="0" borderId="32" xfId="0" applyNumberFormat="1" applyFont="1" applyBorder="1" applyAlignment="1">
      <alignment horizontal="center" vertical="center" wrapText="1"/>
    </xf>
    <xf numFmtId="169" fontId="55" fillId="0" borderId="5" xfId="0" applyNumberFormat="1" applyFont="1" applyBorder="1" applyAlignment="1">
      <alignment horizontal="center" vertical="center"/>
    </xf>
    <xf numFmtId="4" fontId="45" fillId="0" borderId="5" xfId="0" applyNumberFormat="1" applyFont="1" applyBorder="1" applyAlignment="1">
      <alignment vertical="center" wrapText="1"/>
    </xf>
    <xf numFmtId="4" fontId="45" fillId="0" borderId="5" xfId="0" applyNumberFormat="1" applyFont="1" applyBorder="1" applyAlignment="1">
      <alignment horizontal="right" vertical="center"/>
    </xf>
    <xf numFmtId="4" fontId="45" fillId="0" borderId="32" xfId="0" applyNumberFormat="1" applyFont="1" applyBorder="1" applyAlignment="1">
      <alignment horizontal="right" vertical="center"/>
    </xf>
    <xf numFmtId="2" fontId="45" fillId="0" borderId="32" xfId="0" applyNumberFormat="1" applyFont="1" applyBorder="1" applyAlignment="1">
      <alignment horizontal="right" vertical="center"/>
    </xf>
    <xf numFmtId="4" fontId="38" fillId="0" borderId="32" xfId="0" applyNumberFormat="1" applyFont="1" applyBorder="1" applyAlignment="1">
      <alignment horizontal="right" vertical="center"/>
    </xf>
    <xf numFmtId="166" fontId="38" fillId="0" borderId="41" xfId="0" applyNumberFormat="1" applyFont="1" applyBorder="1" applyAlignment="1">
      <alignment horizontal="right" vertical="center"/>
    </xf>
    <xf numFmtId="1" fontId="45" fillId="0" borderId="7" xfId="0" applyNumberFormat="1" applyFont="1" applyBorder="1" applyAlignment="1">
      <alignment horizontal="center" vertical="center" wrapText="1"/>
    </xf>
    <xf numFmtId="0" fontId="55" fillId="0" borderId="8" xfId="0" applyFont="1" applyBorder="1" applyAlignment="1">
      <alignment horizontal="left" vertical="center" wrapText="1"/>
    </xf>
    <xf numFmtId="1" fontId="45" fillId="0" borderId="8" xfId="0" applyNumberFormat="1" applyFont="1" applyBorder="1" applyAlignment="1">
      <alignment horizontal="center" vertical="center" wrapText="1"/>
    </xf>
    <xf numFmtId="2" fontId="45" fillId="0" borderId="8" xfId="0" applyNumberFormat="1" applyFont="1" applyBorder="1" applyAlignment="1">
      <alignment horizontal="center" vertical="center" wrapText="1"/>
    </xf>
    <xf numFmtId="169" fontId="55" fillId="0" borderId="8" xfId="0" applyNumberFormat="1" applyFont="1" applyBorder="1" applyAlignment="1">
      <alignment horizontal="center" vertical="center"/>
    </xf>
    <xf numFmtId="4" fontId="45" fillId="0" borderId="8" xfId="0" applyNumberFormat="1" applyFont="1" applyBorder="1" applyAlignment="1">
      <alignment vertical="center"/>
    </xf>
    <xf numFmtId="4" fontId="45" fillId="0" borderId="8" xfId="0" applyNumberFormat="1" applyFont="1" applyBorder="1" applyAlignment="1">
      <alignment horizontal="right" vertical="center"/>
    </xf>
    <xf numFmtId="4" fontId="38" fillId="0" borderId="8" xfId="0" applyNumberFormat="1" applyFont="1" applyBorder="1" applyAlignment="1">
      <alignment horizontal="right"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8" xfId="0" applyFont="1" applyBorder="1" applyAlignment="1">
      <alignment horizontal="center" vertical="center"/>
    </xf>
    <xf numFmtId="0" fontId="12" fillId="0" borderId="16"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left" vertical="center" wrapText="1"/>
    </xf>
    <xf numFmtId="49" fontId="8" fillId="0" borderId="4" xfId="0" applyNumberFormat="1" applyFont="1" applyBorder="1" applyAlignment="1">
      <alignment horizontal="center" vertical="center"/>
    </xf>
    <xf numFmtId="0" fontId="8" fillId="0" borderId="5" xfId="0" applyFont="1" applyBorder="1" applyAlignment="1">
      <alignment horizontal="left" vertical="center" wrapText="1"/>
    </xf>
    <xf numFmtId="4" fontId="37" fillId="0" borderId="5" xfId="0" applyNumberFormat="1" applyFont="1" applyBorder="1" applyAlignment="1">
      <alignment horizontal="center" vertical="center"/>
    </xf>
    <xf numFmtId="4" fontId="37" fillId="0" borderId="6" xfId="0" applyNumberFormat="1" applyFont="1" applyBorder="1" applyAlignment="1">
      <alignment horizontal="center" vertical="center"/>
    </xf>
    <xf numFmtId="4" fontId="42" fillId="0" borderId="5"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left" vertical="center" wrapText="1"/>
    </xf>
    <xf numFmtId="49" fontId="8" fillId="0" borderId="7" xfId="0" applyNumberFormat="1" applyFont="1" applyBorder="1" applyAlignment="1">
      <alignment horizontal="center" vertical="center"/>
    </xf>
    <xf numFmtId="0" fontId="8" fillId="0" borderId="8" xfId="0" applyFont="1" applyBorder="1" applyAlignment="1">
      <alignment horizontal="left" vertical="center" wrapText="1"/>
    </xf>
    <xf numFmtId="49" fontId="8" fillId="0" borderId="11" xfId="0" applyNumberFormat="1" applyFont="1" applyBorder="1" applyAlignment="1">
      <alignment horizontal="center" vertical="center"/>
    </xf>
    <xf numFmtId="49" fontId="8" fillId="0" borderId="5" xfId="0" applyNumberFormat="1" applyFont="1" applyBorder="1" applyAlignment="1">
      <alignment vertical="center" wrapText="1"/>
    </xf>
    <xf numFmtId="0" fontId="12" fillId="0" borderId="4" xfId="0" applyFont="1" applyBorder="1" applyAlignment="1">
      <alignment horizontal="center" vertical="center"/>
    </xf>
    <xf numFmtId="0" fontId="12" fillId="0" borderId="5" xfId="0" applyFont="1" applyBorder="1" applyAlignment="1">
      <alignment horizontal="left" vertical="center" wrapText="1"/>
    </xf>
    <xf numFmtId="49" fontId="8" fillId="0" borderId="8" xfId="0" applyNumberFormat="1" applyFont="1" applyBorder="1" applyAlignment="1">
      <alignment vertical="center" wrapText="1"/>
    </xf>
    <xf numFmtId="49" fontId="12" fillId="0" borderId="4" xfId="0" applyNumberFormat="1" applyFont="1" applyBorder="1" applyAlignment="1">
      <alignment horizontal="center" vertical="center"/>
    </xf>
    <xf numFmtId="49" fontId="12" fillId="0" borderId="11" xfId="0" applyNumberFormat="1" applyFont="1" applyBorder="1" applyAlignment="1">
      <alignment horizontal="center" vertical="center"/>
    </xf>
    <xf numFmtId="2" fontId="37" fillId="0" borderId="14" xfId="0" applyNumberFormat="1" applyFont="1" applyBorder="1" applyAlignment="1">
      <alignment horizontal="center" vertical="center" wrapText="1"/>
    </xf>
    <xf numFmtId="4" fontId="37" fillId="0" borderId="15" xfId="0" applyNumberFormat="1" applyFont="1" applyBorder="1" applyAlignment="1">
      <alignment horizontal="center" vertical="center" wrapText="1"/>
    </xf>
    <xf numFmtId="0" fontId="12" fillId="0" borderId="26" xfId="0" applyFont="1" applyBorder="1" applyAlignment="1">
      <alignment horizontal="left" vertical="center" wrapText="1"/>
    </xf>
    <xf numFmtId="4" fontId="37" fillId="0" borderId="26" xfId="0" applyNumberFormat="1" applyFont="1" applyBorder="1" applyAlignment="1">
      <alignment horizontal="center" vertical="center" wrapText="1"/>
    </xf>
    <xf numFmtId="4" fontId="37" fillId="0" borderId="27" xfId="0" applyNumberFormat="1" applyFont="1" applyBorder="1" applyAlignment="1">
      <alignment horizontal="center" vertical="center" wrapText="1"/>
    </xf>
    <xf numFmtId="4" fontId="37" fillId="0" borderId="5"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0" fontId="8" fillId="0" borderId="8" xfId="0" applyFont="1" applyBorder="1" applyAlignment="1">
      <alignment vertical="center" wrapText="1"/>
    </xf>
    <xf numFmtId="4" fontId="37" fillId="0" borderId="8" xfId="0" applyNumberFormat="1" applyFont="1" applyBorder="1" applyAlignment="1">
      <alignment horizontal="center" vertical="center"/>
    </xf>
    <xf numFmtId="4" fontId="37" fillId="0" borderId="9" xfId="0" applyNumberFormat="1" applyFont="1" applyBorder="1" applyAlignment="1">
      <alignment horizontal="center" vertical="center"/>
    </xf>
    <xf numFmtId="0" fontId="7" fillId="0" borderId="40" xfId="0" applyFont="1" applyBorder="1" applyAlignment="1">
      <alignment horizontal="center"/>
    </xf>
    <xf numFmtId="0" fontId="70" fillId="0" borderId="1" xfId="0" applyFont="1" applyBorder="1" applyAlignment="1">
      <alignment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2" fillId="0" borderId="28" xfId="0" applyFont="1" applyBorder="1" applyAlignment="1">
      <alignment horizontal="center"/>
    </xf>
    <xf numFmtId="0" fontId="71" fillId="0" borderId="4" xfId="0" applyFont="1" applyBorder="1" applyAlignment="1">
      <alignment horizontal="center" vertical="center" wrapText="1"/>
    </xf>
    <xf numFmtId="0" fontId="37" fillId="0" borderId="32" xfId="0" applyFont="1" applyBorder="1"/>
    <xf numFmtId="0" fontId="37" fillId="0" borderId="41" xfId="0" applyFont="1" applyBorder="1"/>
    <xf numFmtId="0" fontId="69" fillId="0" borderId="4" xfId="0" applyFont="1" applyBorder="1" applyAlignment="1">
      <alignment horizontal="left" vertical="center" wrapText="1"/>
    </xf>
    <xf numFmtId="4" fontId="37" fillId="0" borderId="5" xfId="0" applyNumberFormat="1" applyFont="1" applyBorder="1" applyAlignment="1">
      <alignment horizontal="center"/>
    </xf>
    <xf numFmtId="4" fontId="37" fillId="0" borderId="6" xfId="0" applyNumberFormat="1" applyFont="1" applyBorder="1" applyAlignment="1">
      <alignment horizont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2" fontId="8" fillId="0" borderId="2" xfId="0" applyNumberFormat="1" applyFont="1" applyBorder="1" applyAlignment="1">
      <alignment horizontal="center" vertical="center"/>
    </xf>
    <xf numFmtId="2" fontId="8" fillId="0" borderId="3" xfId="0" applyNumberFormat="1"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wrapText="1"/>
    </xf>
    <xf numFmtId="0" fontId="41" fillId="0" borderId="10" xfId="0" applyFont="1" applyBorder="1" applyAlignment="1">
      <alignment horizontal="center" wrapText="1"/>
    </xf>
    <xf numFmtId="0" fontId="35" fillId="0" borderId="16" xfId="0" applyFont="1" applyBorder="1" applyAlignment="1">
      <alignment horizontal="left" vertical="center" wrapText="1"/>
    </xf>
    <xf numFmtId="0" fontId="35" fillId="0" borderId="22" xfId="0" applyFont="1" applyBorder="1" applyAlignment="1">
      <alignment horizontal="left" vertical="center" wrapText="1"/>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8" fillId="0" borderId="18" xfId="0" applyFont="1" applyBorder="1" applyAlignment="1">
      <alignment vertical="top" wrapText="1"/>
    </xf>
    <xf numFmtId="0" fontId="8" fillId="0" borderId="16" xfId="0" applyFont="1" applyBorder="1" applyAlignment="1">
      <alignment vertical="top"/>
    </xf>
    <xf numFmtId="0" fontId="8" fillId="0" borderId="22" xfId="0" applyFont="1" applyBorder="1" applyAlignment="1">
      <alignment vertical="top"/>
    </xf>
    <xf numFmtId="2" fontId="37" fillId="0" borderId="33" xfId="0" applyNumberFormat="1" applyFont="1" applyBorder="1" applyAlignment="1">
      <alignment horizontal="left" vertical="center" wrapText="1"/>
    </xf>
    <xf numFmtId="2" fontId="37" fillId="0" borderId="34" xfId="0" applyNumberFormat="1" applyFont="1" applyBorder="1" applyAlignment="1">
      <alignment horizontal="left" vertical="center" wrapText="1"/>
    </xf>
    <xf numFmtId="2" fontId="37" fillId="0" borderId="31" xfId="0" applyNumberFormat="1" applyFont="1" applyBorder="1" applyAlignment="1">
      <alignment horizontal="left" vertical="center" wrapText="1"/>
    </xf>
    <xf numFmtId="2" fontId="37" fillId="0" borderId="29" xfId="0" applyNumberFormat="1" applyFont="1" applyBorder="1" applyAlignment="1">
      <alignment horizontal="left" vertical="center" wrapText="1"/>
    </xf>
    <xf numFmtId="2" fontId="37" fillId="0" borderId="35" xfId="0" applyNumberFormat="1" applyFont="1" applyBorder="1" applyAlignment="1">
      <alignment horizontal="left" vertical="center" wrapText="1"/>
    </xf>
    <xf numFmtId="2" fontId="37" fillId="0" borderId="36" xfId="0" applyNumberFormat="1" applyFont="1" applyBorder="1" applyAlignment="1">
      <alignment horizontal="left" vertical="center" wrapText="1"/>
    </xf>
    <xf numFmtId="2" fontId="37" fillId="0" borderId="37" xfId="0" applyNumberFormat="1" applyFont="1" applyBorder="1" applyAlignment="1">
      <alignment horizontal="left" vertical="center" wrapText="1"/>
    </xf>
    <xf numFmtId="2" fontId="37" fillId="0" borderId="30" xfId="0" applyNumberFormat="1" applyFont="1" applyBorder="1" applyAlignment="1">
      <alignment horizontal="left" vertical="center" wrapText="1"/>
    </xf>
    <xf numFmtId="2" fontId="37" fillId="0" borderId="38" xfId="0" applyNumberFormat="1" applyFont="1" applyBorder="1" applyAlignment="1">
      <alignment horizontal="left" vertical="center" wrapText="1"/>
    </xf>
    <xf numFmtId="2" fontId="37" fillId="0" borderId="39" xfId="0" applyNumberFormat="1" applyFont="1" applyBorder="1" applyAlignment="1">
      <alignment horizontal="left" vertical="center" wrapText="1"/>
    </xf>
    <xf numFmtId="0" fontId="37" fillId="0" borderId="20" xfId="0" applyFont="1" applyBorder="1" applyAlignment="1">
      <alignment horizontal="left" vertical="center" wrapText="1"/>
    </xf>
    <xf numFmtId="0" fontId="37" fillId="0" borderId="21" xfId="0" applyFont="1" applyBorder="1" applyAlignment="1">
      <alignment horizontal="left" vertical="center" wrapText="1"/>
    </xf>
    <xf numFmtId="1" fontId="38" fillId="0" borderId="0" xfId="0" applyNumberFormat="1" applyFont="1" applyAlignment="1">
      <alignment horizontal="center" vertical="center" wrapText="1"/>
    </xf>
    <xf numFmtId="1" fontId="59" fillId="0" borderId="10" xfId="0" applyNumberFormat="1" applyFont="1" applyBorder="1" applyAlignment="1">
      <alignment horizontal="left" vertical="center" wrapText="1"/>
    </xf>
    <xf numFmtId="2" fontId="49"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4" fillId="0" borderId="0" xfId="0" applyNumberFormat="1" applyFont="1" applyAlignment="1">
      <alignment horizontal="left" wrapText="1"/>
    </xf>
    <xf numFmtId="2" fontId="75" fillId="0" borderId="0" xfId="0" applyNumberFormat="1" applyFont="1" applyAlignment="1">
      <alignment horizontal="center" vertical="center"/>
    </xf>
    <xf numFmtId="1" fontId="49" fillId="0" borderId="0" xfId="0" applyNumberFormat="1" applyFont="1" applyAlignment="1">
      <alignment horizontal="center" vertical="center"/>
    </xf>
    <xf numFmtId="2" fontId="75" fillId="0" borderId="0" xfId="0" applyNumberFormat="1" applyFont="1" applyAlignment="1">
      <alignment horizontal="center" vertical="center" wrapText="1"/>
    </xf>
    <xf numFmtId="1" fontId="7" fillId="0" borderId="0" xfId="0" applyNumberFormat="1" applyFont="1" applyAlignment="1">
      <alignment horizontal="left"/>
    </xf>
    <xf numFmtId="1" fontId="7" fillId="0" borderId="0" xfId="0" applyNumberFormat="1" applyFont="1" applyAlignment="1">
      <alignment horizontal="left" wrapText="1"/>
    </xf>
    <xf numFmtId="1" fontId="49" fillId="0" borderId="0" xfId="0" applyNumberFormat="1" applyFont="1" applyAlignment="1">
      <alignment horizontal="center" vertical="center" wrapText="1"/>
    </xf>
    <xf numFmtId="1" fontId="7" fillId="0" borderId="0" xfId="0" applyNumberFormat="1" applyFont="1" applyAlignment="1">
      <alignment wrapText="1"/>
    </xf>
    <xf numFmtId="164" fontId="49" fillId="0" borderId="0" xfId="0" applyNumberFormat="1" applyFont="1" applyAlignment="1">
      <alignment horizontal="center" vertical="center" wrapText="1"/>
    </xf>
    <xf numFmtId="1" fontId="56" fillId="0" borderId="0" xfId="0" applyNumberFormat="1" applyFont="1" applyAlignment="1">
      <alignment horizontal="right" vertical="center"/>
    </xf>
    <xf numFmtId="1" fontId="38" fillId="0" borderId="0" xfId="0" applyNumberFormat="1" applyFont="1" applyAlignment="1">
      <alignment horizontal="right" vertical="center"/>
    </xf>
    <xf numFmtId="1" fontId="50" fillId="0" borderId="10" xfId="0" applyNumberFormat="1" applyFont="1" applyBorder="1" applyAlignment="1">
      <alignment horizontal="left" vertical="center" wrapText="1"/>
    </xf>
    <xf numFmtId="2" fontId="20" fillId="0" borderId="0" xfId="0" applyNumberFormat="1" applyFont="1" applyAlignment="1">
      <alignment horizontal="center" wrapText="1"/>
    </xf>
    <xf numFmtId="1" fontId="13" fillId="0" borderId="0" xfId="0" applyNumberFormat="1" applyFont="1" applyAlignment="1">
      <alignment horizontal="center" wrapText="1"/>
    </xf>
    <xf numFmtId="1" fontId="19" fillId="0" borderId="10" xfId="0" applyNumberFormat="1" applyFont="1" applyBorder="1" applyAlignment="1">
      <alignment horizontal="left" wrapText="1"/>
    </xf>
    <xf numFmtId="1" fontId="13" fillId="0" borderId="0" xfId="0" applyNumberFormat="1" applyFont="1" applyAlignment="1">
      <alignment horizontal="center"/>
    </xf>
    <xf numFmtId="1" fontId="13" fillId="0" borderId="0" xfId="0" applyNumberFormat="1" applyFont="1" applyAlignment="1">
      <alignment horizontal="center" vertical="center"/>
    </xf>
    <xf numFmtId="1" fontId="13" fillId="0" borderId="0" xfId="0" applyNumberFormat="1" applyFont="1" applyAlignment="1">
      <alignment horizontal="left" vertical="center" wrapText="1"/>
    </xf>
    <xf numFmtId="1" fontId="13" fillId="0" borderId="0" xfId="0" applyNumberFormat="1" applyFont="1" applyAlignment="1">
      <alignment horizontal="right" vertical="center" wrapText="1" indent="2"/>
    </xf>
    <xf numFmtId="1" fontId="13" fillId="0" borderId="0" xfId="0" applyNumberFormat="1" applyFont="1" applyAlignment="1">
      <alignment horizontal="right" wrapText="1"/>
    </xf>
  </cellXfs>
  <cellStyles count="22">
    <cellStyle name="Excel Built-in Excel Built-in Excel Built-in Excel Built-in Excel Built-in Excel Built-in Excel Built-in Excel Built-in Excel Built-in Обычный 3" xfId="2" xr:uid="{00000000-0005-0000-0000-000000000000}"/>
    <cellStyle name="Excel Built-in Excel Built-in Excel Built-in Excel Built-in Обычный 3" xfId="3" xr:uid="{00000000-0005-0000-0000-000001000000}"/>
    <cellStyle name="TableStyleLight1" xfId="4" xr:uid="{00000000-0005-0000-0000-000002000000}"/>
    <cellStyle name="Відсотковий" xfId="19" builtinId="5"/>
    <cellStyle name="Звичайний" xfId="0" builtinId="0"/>
    <cellStyle name="Обычный 2" xfId="5" xr:uid="{00000000-0005-0000-0000-000004000000}"/>
    <cellStyle name="Обычный 2 2" xfId="1" xr:uid="{00000000-0005-0000-0000-000005000000}"/>
    <cellStyle name="Обычный 2 2 2" xfId="6" xr:uid="{00000000-0005-0000-0000-000006000000}"/>
    <cellStyle name="Обычный 2 2 3" xfId="7" xr:uid="{00000000-0005-0000-0000-000007000000}"/>
    <cellStyle name="Обычный 2 3" xfId="8" xr:uid="{00000000-0005-0000-0000-000008000000}"/>
    <cellStyle name="Обычный 2 4" xfId="9" xr:uid="{00000000-0005-0000-0000-000009000000}"/>
    <cellStyle name="Обычный 2 5" xfId="10" xr:uid="{00000000-0005-0000-0000-00000A000000}"/>
    <cellStyle name="Обычный 2 6" xfId="11" xr:uid="{00000000-0005-0000-0000-00000B000000}"/>
    <cellStyle name="Обычный 2 7" xfId="12" xr:uid="{00000000-0005-0000-0000-00000C000000}"/>
    <cellStyle name="Обычный 3" xfId="13" xr:uid="{00000000-0005-0000-0000-00000D000000}"/>
    <cellStyle name="Обычный 4" xfId="14" xr:uid="{00000000-0005-0000-0000-00000E000000}"/>
    <cellStyle name="Обычный 5" xfId="15" xr:uid="{00000000-0005-0000-0000-00000F000000}"/>
    <cellStyle name="Обычный 6" xfId="16" xr:uid="{00000000-0005-0000-0000-000010000000}"/>
    <cellStyle name="Обычный 7" xfId="17" xr:uid="{00000000-0005-0000-0000-000011000000}"/>
    <cellStyle name="Обычный_Калькуляция №8.xls.xls" xfId="20" xr:uid="{00000000-0005-0000-0000-000012000000}"/>
    <cellStyle name="Процентный 2" xfId="18" xr:uid="{00000000-0005-0000-0000-000014000000}"/>
    <cellStyle name="Процентный 3" xfId="21" xr:uid="{00000000-0005-0000-0000-000015000000}"/>
  </cellStyles>
  <dxfs count="0"/>
  <tableStyles count="0" defaultTableStyle="TableStyleMedium2" defaultPivotStyle="PivotStyleLight16"/>
  <colors>
    <mruColors>
      <color rgb="FF99FF66"/>
      <color rgb="FF85DFFF"/>
      <color rgb="FFB2B2B2"/>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P-FS05.ent.ukrgas.com.ua\PLAN\&#1050;&#1040;&#1051;&#1068;&#1050;&#1059;&#1051;&#1071;&#1062;&#1030;&#1031;\2023\&#1044;&#1053;&#1030;&#1055;&#1056;&#1054;&#1055;&#1045;&#1058;&#1056;&#1054;&#1042;&#1057;&#1068;&#1050;&#1040;%20&#1060;&#1030;&#1051;&#1030;&#1071;%20&#1043;&#1056;&#1052;&#1059;\&#1050;&#1040;&#1051;&#1068;&#1050;&#1059;&#1051;&#1071;&#1062;&#1030;&#1031;%202023\&#1052;&#1056;%20&#1079;%2001.10.2023\&#1050;&#1072;&#1083;&#1100;&#1082;&#1091;&#1083;&#1103;&#1094;&#1110;&#1111;%20&#1052;&#1056;%20&#1079;%2001.1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40;&#1051;&#1068;&#1050;&#1059;&#1051;&#1071;&#1062;&#1030;&#1031;/2022/&#1050;&#1040;&#1051;&#1068;&#1050;&#1059;&#1051;&#1071;&#1062;&#1030;&#1031;%20&#1079;%2001.01.2022/&#1050;&#1044;%20&#1079;%2004.01.2022/&#1050;&#1072;&#1083;&#1100;&#1082;&#1091;&#1083;&#1103;&#1094;&#1110;&#1111;%20&#1050;&#1044;%20&#1079;%2004.01.20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aftogaz-my.sharepoint.com/&#1050;&#1040;&#1051;&#1068;&#1050;&#1059;&#1051;&#1071;&#1062;&#1030;&#1031;/2021/&#1050;&#1040;&#1051;&#1068;&#1050;&#1059;&#1051;&#1071;&#1062;&#1030;&#1031;%20&#1079;%2001.08.2021/&#1052;&#1056;%20&#1079;%2001.08.2021/&#1050;&#1072;&#1083;&#1100;&#1082;&#1091;&#1083;&#1103;&#1094;&#1110;&#1111;%20&#1052;&#1056;%20&#1079;%2001.08.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aftogaz-my.sharepoint.com/&#1050;&#1040;&#1051;&#1068;&#1050;&#1059;&#1051;&#1071;&#1062;&#1030;&#1031;/2021/&#1050;&#1040;&#1051;&#1068;&#1050;&#1059;&#1051;&#1071;&#1062;&#1030;&#1031;%20&#1079;%2001.08.2021/&#1052;&#1056;%20&#1079;%2001.08.2021/&#1050;&#1072;&#1083;&#1100;&#1082;&#1091;&#1083;&#1103;&#1094;&#1110;&#1111;%20&#1052;&#1056;%20&#1079;%2001.04.2019&#10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etiana.zavalypich/AppData/Local/Microsoft/Windows/Temporary%20Internet%20Files/Content.Outlook/EPI6HYNE/&#1050;&#1072;&#1083;&#1100;&#1082;&#1091;&#1083;&#1103;&#1094;&#1110;&#1111;%20&#1052;&#1056;%20&#1079;%2001.04.2019&#10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лаштування"/>
      <sheetName val="ЧТС"/>
      <sheetName val="Оклади"/>
      <sheetName val="МР1 ТУ"/>
      <sheetName val="МР2 ПКД"/>
      <sheetName val="МР3 Прийм"/>
      <sheetName val="МР4 Відн ВТД втратила чин"/>
      <sheetName val="МР5 Врізка"/>
      <sheetName val="МР6 Припин"/>
      <sheetName val="МР6.1 Відновл"/>
      <sheetName val="МР7 Припин заглушка"/>
      <sheetName val="МР7.1 Відновл"/>
      <sheetName val="МР8 Нагляд"/>
      <sheetName val="МР9 Пуск"/>
      <sheetName val="Зниж відн тиску газу"/>
      <sheetName val="Форма 1 (до М.Р.1-3)"/>
      <sheetName val="Форма 1 (до М.Р.6-9)"/>
    </sheetNames>
    <sheetDataSet>
      <sheetData sheetId="0">
        <row r="4">
          <cell r="B4">
            <v>22</v>
          </cell>
        </row>
        <row r="5">
          <cell r="B5">
            <v>53.16</v>
          </cell>
        </row>
        <row r="8">
          <cell r="B8">
            <v>10</v>
          </cell>
        </row>
        <row r="13">
          <cell r="B13">
            <v>20</v>
          </cell>
        </row>
      </sheetData>
      <sheetData sheetId="1">
        <row r="29">
          <cell r="L29">
            <v>57.99</v>
          </cell>
        </row>
        <row r="30">
          <cell r="L30">
            <v>65.599999999999994</v>
          </cell>
        </row>
        <row r="31">
          <cell r="L31">
            <v>73.2</v>
          </cell>
        </row>
      </sheetData>
      <sheetData sheetId="2">
        <row r="8">
          <cell r="I8">
            <v>19020</v>
          </cell>
        </row>
      </sheetData>
      <sheetData sheetId="3">
        <row r="11">
          <cell r="A11" t="str">
            <v>Вводиться в дію з "01" жовтня 2023р.</v>
          </cell>
        </row>
      </sheetData>
      <sheetData sheetId="4"/>
      <sheetData sheetId="5"/>
      <sheetData sheetId="6"/>
      <sheetData sheetId="7"/>
      <sheetData sheetId="8">
        <row r="11">
          <cell r="B11" t="str">
            <v>Вводиться в дію з "01" жовтня 2023р.</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лаштування"/>
      <sheetName val="Оклади"/>
      <sheetName val="ЧТС"/>
      <sheetName val="Кал 1 Ремонт газопров"/>
      <sheetName val="Кал 2 ТО внутрбуд систем"/>
      <sheetName val="Кал 3 Лабораторії"/>
      <sheetName val="Кал 4 Обслуг КБРТ"/>
      <sheetName val="Кал 5 Рем буд роб"/>
      <sheetName val="Кал 6 Зняття дост поверн ПГЛ"/>
      <sheetName val="Кал 7 Зварюв стиків"/>
      <sheetName val="Встановл заміна ПГЛ "/>
      <sheetName val="Заміна ПГЛ на нові кратк"/>
      <sheetName val="Лист1"/>
    </sheetNames>
    <sheetDataSet>
      <sheetData sheetId="0" refreshError="1">
        <row r="3">
          <cell r="B3">
            <v>22</v>
          </cell>
        </row>
        <row r="12">
          <cell r="B12">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лаштування"/>
      <sheetName val="ЧТС"/>
      <sheetName val="Оклади з 01.07.2021"/>
      <sheetName val="МР1 ТУ"/>
      <sheetName val="МР2 ПКД"/>
      <sheetName val="МР3 Приймання"/>
      <sheetName val="МР4 Відновлення ВТД"/>
      <sheetName val="МР5 Врізка"/>
      <sheetName val="МР6 Припин"/>
      <sheetName val="МР6.1 Відновл"/>
      <sheetName val="МР7 Припин заглушка"/>
      <sheetName val="МР7.1 Відновл"/>
      <sheetName val="МР8 Нагляд"/>
      <sheetName val="МР9 Пуск"/>
      <sheetName val="Зниж відн тиску газу"/>
      <sheetName val="Форма 1 (до М.Р.1-4)"/>
      <sheetName val="Форма 1 (до М.Р.6-9)"/>
    </sheetNames>
    <sheetDataSet>
      <sheetData sheetId="0"/>
      <sheetData sheetId="1"/>
      <sheetData sheetId="2"/>
      <sheetData sheetId="3">
        <row r="1">
          <cell r="K1" t="str">
            <v>Додаток № ___ до наказу № ________________________  від _____ 2021р.</v>
          </cell>
        </row>
        <row r="5">
          <cell r="A5" t="str">
            <v xml:space="preserve">                      А. В. Шаповалов</v>
          </cell>
        </row>
        <row r="10">
          <cell r="A10" t="str">
            <v>Вводиться в дію з "01" серпня 2021р.</v>
          </cell>
        </row>
        <row r="21">
          <cell r="K21" t="str">
            <v>Л. С. Голуб</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лаштування"/>
      <sheetName val="МР1 Видача ТУ"/>
      <sheetName val="МР2 Погодження ПКД"/>
      <sheetName val="МР3 Приймання в експлуатацію "/>
      <sheetName val="МР4 Відновлення ВТД"/>
      <sheetName val="МР5 Врізка по АВК"/>
      <sheetName val="МР6 Припин"/>
      <sheetName val="МР6.1 Відновл"/>
      <sheetName val="МР7 Припин заглушка"/>
      <sheetName val="МР7.1 Відновл"/>
      <sheetName val="МР8 Нагляд за роб в охор. зоні"/>
      <sheetName val="МР9 Пуск газу"/>
      <sheetName val="Форма 4 (до М.Р.1-4)"/>
      <sheetName val="Форма 1 (до М.Р.1-4)"/>
      <sheetName val="Форма 4 (до М.Р.6-9)"/>
      <sheetName val="Форма 1 (до М.Р.6-9)"/>
      <sheetName val="Зниж відн тиску газу"/>
      <sheetName val="Лист1"/>
    </sheetNames>
    <sheetDataSet>
      <sheetData sheetId="0" refreshError="1"/>
      <sheetData sheetId="1" refreshError="1">
        <row r="1">
          <cell r="K1" t="str">
            <v>Додаток № ___ до наказу №_______________________від __________2019р.</v>
          </cell>
        </row>
        <row r="3">
          <cell r="A3" t="str">
            <v>ПОГОДЖЕНО</v>
          </cell>
        </row>
        <row r="4">
          <cell r="A4" t="str">
            <v>Директор фінансовий</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лаштування"/>
      <sheetName val="МР1 Видача ТУ"/>
      <sheetName val="МР2 Погодження ПКД"/>
      <sheetName val="МР3 Приймання в експлуатацію "/>
      <sheetName val="МР4 Відновлення ВТД"/>
      <sheetName val="МР5 Врізка по АВК"/>
      <sheetName val="МР6 Припин"/>
      <sheetName val="МР6.1 Відновл"/>
      <sheetName val="МР7 Припин заглушка"/>
      <sheetName val="МР7.1 Відновл"/>
      <sheetName val="МР8 Нагляд за роб в охор. зоні"/>
      <sheetName val="МР9 Пуск газу"/>
      <sheetName val="Форма 4 (до М.Р.1-4)"/>
      <sheetName val="Форма 1 (до М.Р.1-4)"/>
      <sheetName val="Форма 4 (до М.Р.6-9)"/>
      <sheetName val="Форма 1 (до М.Р.6-9)"/>
      <sheetName val="Зниж відн тиску газу"/>
      <sheetName val="Лист1"/>
    </sheetNames>
    <sheetDataSet>
      <sheetData sheetId="0" refreshError="1"/>
      <sheetData sheetId="1" refreshError="1">
        <row r="1">
          <cell r="K1" t="str">
            <v>Додаток № ___ до наказу №_______________________від __________2019р.</v>
          </cell>
        </row>
        <row r="21">
          <cell r="K21" t="str">
            <v>Г. В. Улько</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7"/>
  <sheetViews>
    <sheetView tabSelected="1" zoomScale="94" zoomScaleNormal="94" zoomScaleSheetLayoutView="41" workbookViewId="0">
      <selection activeCell="J5" sqref="J5"/>
    </sheetView>
  </sheetViews>
  <sheetFormatPr defaultColWidth="9.140625" defaultRowHeight="13.15"/>
  <cols>
    <col min="1" max="1" width="4.42578125" style="372" customWidth="1"/>
    <col min="2" max="2" width="74.42578125" style="120" customWidth="1"/>
    <col min="3" max="4" width="20.140625" style="120" customWidth="1"/>
    <col min="5" max="16384" width="9.140625" style="120"/>
  </cols>
  <sheetData>
    <row r="1" spans="1:4" ht="26.25" customHeight="1">
      <c r="A1" s="650" t="s">
        <v>0</v>
      </c>
      <c r="B1" s="650"/>
      <c r="C1" s="650"/>
      <c r="D1" s="650"/>
    </row>
    <row r="2" spans="1:4" ht="76.5" customHeight="1">
      <c r="A2" s="651" t="s">
        <v>1</v>
      </c>
      <c r="B2" s="651"/>
      <c r="C2" s="651"/>
      <c r="D2" s="651"/>
    </row>
    <row r="3" spans="1:4" ht="29.25" customHeight="1" thickBot="1">
      <c r="A3" s="652" t="s">
        <v>2</v>
      </c>
      <c r="B3" s="652"/>
      <c r="C3" s="652"/>
      <c r="D3" s="652"/>
    </row>
    <row r="4" spans="1:4" s="371" customFormat="1" ht="21" thickBot="1">
      <c r="A4" s="370" t="s">
        <v>3</v>
      </c>
      <c r="B4" s="600" t="s">
        <v>4</v>
      </c>
      <c r="C4" s="600" t="s">
        <v>5</v>
      </c>
      <c r="D4" s="601" t="s">
        <v>6</v>
      </c>
    </row>
    <row r="5" spans="1:4" s="119" customFormat="1" ht="43.5" customHeight="1" thickTop="1" thickBot="1">
      <c r="A5" s="602">
        <v>1</v>
      </c>
      <c r="B5" s="603" t="s">
        <v>7</v>
      </c>
      <c r="C5" s="653" t="s">
        <v>8</v>
      </c>
      <c r="D5" s="654"/>
    </row>
    <row r="6" spans="1:4" s="119" customFormat="1" ht="24.75" customHeight="1">
      <c r="A6" s="604">
        <v>2</v>
      </c>
      <c r="B6" s="605" t="s">
        <v>9</v>
      </c>
      <c r="C6" s="648"/>
      <c r="D6" s="649"/>
    </row>
    <row r="7" spans="1:4" s="119" customFormat="1" ht="26.25" customHeight="1">
      <c r="A7" s="606" t="s">
        <v>10</v>
      </c>
      <c r="B7" s="607" t="s">
        <v>11</v>
      </c>
      <c r="C7" s="608">
        <v>1769.71</v>
      </c>
      <c r="D7" s="609">
        <v>2123.65</v>
      </c>
    </row>
    <row r="8" spans="1:4" s="119" customFormat="1" ht="26.25" customHeight="1">
      <c r="A8" s="606" t="s">
        <v>12</v>
      </c>
      <c r="B8" s="607" t="s">
        <v>13</v>
      </c>
      <c r="C8" s="610">
        <v>1702.92</v>
      </c>
      <c r="D8" s="609">
        <v>2043.5</v>
      </c>
    </row>
    <row r="9" spans="1:4" s="119" customFormat="1" ht="26.25" customHeight="1">
      <c r="A9" s="606" t="s">
        <v>14</v>
      </c>
      <c r="B9" s="607" t="s">
        <v>15</v>
      </c>
      <c r="C9" s="610">
        <v>1235.47</v>
      </c>
      <c r="D9" s="609">
        <v>1482.56</v>
      </c>
    </row>
    <row r="10" spans="1:4" s="119" customFormat="1" ht="26.25" customHeight="1">
      <c r="A10" s="606" t="s">
        <v>16</v>
      </c>
      <c r="B10" s="607" t="s">
        <v>17</v>
      </c>
      <c r="C10" s="610">
        <v>968.34</v>
      </c>
      <c r="D10" s="609">
        <v>1162.01</v>
      </c>
    </row>
    <row r="11" spans="1:4" s="119" customFormat="1" ht="33.75" customHeight="1">
      <c r="A11" s="606" t="s">
        <v>18</v>
      </c>
      <c r="B11" s="607" t="s">
        <v>19</v>
      </c>
      <c r="C11" s="610">
        <v>1602.76</v>
      </c>
      <c r="D11" s="609">
        <v>1923.31</v>
      </c>
    </row>
    <row r="12" spans="1:4" s="119" customFormat="1" ht="18.75" customHeight="1" thickBot="1">
      <c r="A12" s="643" t="s">
        <v>20</v>
      </c>
      <c r="B12" s="644"/>
      <c r="C12" s="644"/>
      <c r="D12" s="645"/>
    </row>
    <row r="13" spans="1:4" s="119" customFormat="1" ht="40.5" customHeight="1" thickBot="1">
      <c r="A13" s="611">
        <v>3</v>
      </c>
      <c r="B13" s="612" t="s">
        <v>21</v>
      </c>
      <c r="C13" s="646" t="s">
        <v>8</v>
      </c>
      <c r="D13" s="647"/>
    </row>
    <row r="14" spans="1:4" s="119" customFormat="1" ht="51.75" customHeight="1">
      <c r="A14" s="604">
        <v>4</v>
      </c>
      <c r="B14" s="605" t="s">
        <v>22</v>
      </c>
      <c r="C14" s="648"/>
      <c r="D14" s="649"/>
    </row>
    <row r="15" spans="1:4" s="119" customFormat="1" ht="36" customHeight="1">
      <c r="A15" s="606" t="s">
        <v>23</v>
      </c>
      <c r="B15" s="607" t="s">
        <v>24</v>
      </c>
      <c r="C15" s="608">
        <v>1168.67</v>
      </c>
      <c r="D15" s="609">
        <v>1402.4</v>
      </c>
    </row>
    <row r="16" spans="1:4" s="119" customFormat="1" ht="36" customHeight="1">
      <c r="A16" s="606" t="s">
        <v>25</v>
      </c>
      <c r="B16" s="607" t="s">
        <v>26</v>
      </c>
      <c r="C16" s="608">
        <v>1168.67</v>
      </c>
      <c r="D16" s="609">
        <v>1402.4</v>
      </c>
    </row>
    <row r="17" spans="1:4" s="119" customFormat="1" ht="36" customHeight="1">
      <c r="A17" s="606" t="s">
        <v>27</v>
      </c>
      <c r="B17" s="607" t="s">
        <v>28</v>
      </c>
      <c r="C17" s="608">
        <v>834.78</v>
      </c>
      <c r="D17" s="609">
        <v>1001.74</v>
      </c>
    </row>
    <row r="18" spans="1:4" s="119" customFormat="1" ht="36" customHeight="1" thickBot="1">
      <c r="A18" s="613" t="s">
        <v>29</v>
      </c>
      <c r="B18" s="614" t="s">
        <v>30</v>
      </c>
      <c r="C18" s="608">
        <v>834.78</v>
      </c>
      <c r="D18" s="609">
        <v>1001.74</v>
      </c>
    </row>
    <row r="19" spans="1:4" s="119" customFormat="1" ht="29.25" customHeight="1">
      <c r="A19" s="604">
        <v>5</v>
      </c>
      <c r="B19" s="605" t="s">
        <v>31</v>
      </c>
      <c r="C19" s="661" t="s">
        <v>32</v>
      </c>
      <c r="D19" s="662"/>
    </row>
    <row r="20" spans="1:4" s="119" customFormat="1" ht="24.75" customHeight="1">
      <c r="A20" s="615" t="s">
        <v>33</v>
      </c>
      <c r="B20" s="616" t="s">
        <v>34</v>
      </c>
      <c r="C20" s="663"/>
      <c r="D20" s="664"/>
    </row>
    <row r="21" spans="1:4" s="119" customFormat="1" ht="24.75" customHeight="1">
      <c r="A21" s="615" t="s">
        <v>35</v>
      </c>
      <c r="B21" s="616" t="s">
        <v>36</v>
      </c>
      <c r="C21" s="663"/>
      <c r="D21" s="664"/>
    </row>
    <row r="22" spans="1:4" s="119" customFormat="1" ht="24.75" customHeight="1">
      <c r="A22" s="615" t="s">
        <v>37</v>
      </c>
      <c r="B22" s="616" t="s">
        <v>38</v>
      </c>
      <c r="C22" s="663"/>
      <c r="D22" s="664"/>
    </row>
    <row r="23" spans="1:4" s="119" customFormat="1" ht="24.75" customHeight="1">
      <c r="A23" s="606" t="s">
        <v>39</v>
      </c>
      <c r="B23" s="616" t="s">
        <v>40</v>
      </c>
      <c r="C23" s="663"/>
      <c r="D23" s="664"/>
    </row>
    <row r="24" spans="1:4" s="119" customFormat="1" ht="36" customHeight="1">
      <c r="A24" s="617">
        <v>6</v>
      </c>
      <c r="B24" s="618" t="s">
        <v>41</v>
      </c>
      <c r="C24" s="663"/>
      <c r="D24" s="664"/>
    </row>
    <row r="25" spans="1:4" s="119" customFormat="1" ht="26.25" customHeight="1">
      <c r="A25" s="617">
        <v>7</v>
      </c>
      <c r="B25" s="618" t="s">
        <v>42</v>
      </c>
      <c r="C25" s="663"/>
      <c r="D25" s="664"/>
    </row>
    <row r="26" spans="1:4" s="119" customFormat="1" ht="21" customHeight="1">
      <c r="A26" s="615" t="s">
        <v>43</v>
      </c>
      <c r="B26" s="616" t="s">
        <v>44</v>
      </c>
      <c r="C26" s="663"/>
      <c r="D26" s="664"/>
    </row>
    <row r="27" spans="1:4" s="119" customFormat="1" ht="21" customHeight="1" thickBot="1">
      <c r="A27" s="613" t="s">
        <v>45</v>
      </c>
      <c r="B27" s="619" t="s">
        <v>46</v>
      </c>
      <c r="C27" s="665"/>
      <c r="D27" s="666"/>
    </row>
    <row r="28" spans="1:4" s="119" customFormat="1" ht="57" customHeight="1">
      <c r="A28" s="604">
        <v>8</v>
      </c>
      <c r="B28" s="605" t="s">
        <v>47</v>
      </c>
      <c r="C28" s="671" t="s">
        <v>48</v>
      </c>
      <c r="D28" s="672"/>
    </row>
    <row r="29" spans="1:4" s="119" customFormat="1" ht="49.5" customHeight="1">
      <c r="A29" s="620" t="s">
        <v>49</v>
      </c>
      <c r="B29" s="616" t="s">
        <v>50</v>
      </c>
      <c r="C29" s="667" t="s">
        <v>51</v>
      </c>
      <c r="D29" s="668"/>
    </row>
    <row r="30" spans="1:4" s="119" customFormat="1" ht="63.75" customHeight="1" thickBot="1">
      <c r="A30" s="621" t="s">
        <v>52</v>
      </c>
      <c r="B30" s="616" t="s">
        <v>53</v>
      </c>
      <c r="C30" s="669" t="s">
        <v>54</v>
      </c>
      <c r="D30" s="670"/>
    </row>
    <row r="31" spans="1:4" s="119" customFormat="1" ht="56.25" customHeight="1">
      <c r="A31" s="621" t="s">
        <v>55</v>
      </c>
      <c r="B31" s="616" t="s">
        <v>56</v>
      </c>
      <c r="C31" s="667" t="s">
        <v>57</v>
      </c>
      <c r="D31" s="668"/>
    </row>
    <row r="32" spans="1:4" s="119" customFormat="1" ht="74.25" customHeight="1" thickBot="1">
      <c r="A32" s="621" t="s">
        <v>58</v>
      </c>
      <c r="B32" s="616" t="s">
        <v>59</v>
      </c>
      <c r="C32" s="669" t="s">
        <v>60</v>
      </c>
      <c r="D32" s="670"/>
    </row>
    <row r="33" spans="1:4" s="119" customFormat="1" ht="51.75" customHeight="1" thickBot="1">
      <c r="A33" s="658" t="s">
        <v>61</v>
      </c>
      <c r="B33" s="659"/>
      <c r="C33" s="659"/>
      <c r="D33" s="660"/>
    </row>
    <row r="34" spans="1:4" s="119" customFormat="1" ht="32.25" customHeight="1" thickBot="1">
      <c r="A34" s="611">
        <v>13</v>
      </c>
      <c r="B34" s="612" t="s">
        <v>62</v>
      </c>
      <c r="C34" s="622">
        <v>146.44999999999999</v>
      </c>
      <c r="D34" s="623">
        <v>175.74</v>
      </c>
    </row>
    <row r="35" spans="1:4" ht="30.75" customHeight="1">
      <c r="A35" s="655">
        <v>14</v>
      </c>
      <c r="B35" s="624" t="s">
        <v>63</v>
      </c>
      <c r="C35" s="625"/>
      <c r="D35" s="626"/>
    </row>
    <row r="36" spans="1:4" ht="25.5" customHeight="1">
      <c r="A36" s="656"/>
      <c r="B36" s="607" t="s">
        <v>64</v>
      </c>
      <c r="C36" s="608">
        <v>4101.3100000000004</v>
      </c>
      <c r="D36" s="609">
        <v>4921.57</v>
      </c>
    </row>
    <row r="37" spans="1:4" ht="28.5" customHeight="1">
      <c r="A37" s="656"/>
      <c r="B37" s="607" t="s">
        <v>65</v>
      </c>
      <c r="C37" s="608">
        <v>410.03</v>
      </c>
      <c r="D37" s="609">
        <v>492.04</v>
      </c>
    </row>
    <row r="38" spans="1:4" ht="23.25" customHeight="1">
      <c r="A38" s="656"/>
      <c r="B38" s="607" t="s">
        <v>66</v>
      </c>
      <c r="C38" s="627">
        <v>1875.52</v>
      </c>
      <c r="D38" s="628">
        <v>2250.63</v>
      </c>
    </row>
    <row r="39" spans="1:4" ht="24" customHeight="1">
      <c r="A39" s="656"/>
      <c r="B39" s="607" t="s">
        <v>67</v>
      </c>
      <c r="C39" s="627">
        <v>2292.9</v>
      </c>
      <c r="D39" s="628">
        <v>2751.48</v>
      </c>
    </row>
    <row r="40" spans="1:4" ht="27.75" customHeight="1" thickBot="1">
      <c r="A40" s="657"/>
      <c r="B40" s="629" t="s">
        <v>68</v>
      </c>
      <c r="C40" s="630">
        <v>230.39</v>
      </c>
      <c r="D40" s="631">
        <v>276.47000000000003</v>
      </c>
    </row>
    <row r="41" spans="1:4" ht="13.9" thickBot="1"/>
    <row r="42" spans="1:4" ht="107.45">
      <c r="A42" s="632"/>
      <c r="B42" s="633" t="s">
        <v>69</v>
      </c>
      <c r="C42" s="634" t="s">
        <v>5</v>
      </c>
      <c r="D42" s="635" t="s">
        <v>6</v>
      </c>
    </row>
    <row r="43" spans="1:4">
      <c r="A43" s="636">
        <v>15</v>
      </c>
      <c r="B43" s="637" t="s">
        <v>70</v>
      </c>
      <c r="C43" s="638"/>
      <c r="D43" s="639"/>
    </row>
    <row r="44" spans="1:4">
      <c r="A44" s="636"/>
      <c r="B44" s="640" t="s">
        <v>71</v>
      </c>
      <c r="C44" s="641">
        <v>12660</v>
      </c>
      <c r="D44" s="642">
        <f>C44*1.2</f>
        <v>15192</v>
      </c>
    </row>
    <row r="45" spans="1:4">
      <c r="A45" s="636"/>
      <c r="B45" s="640" t="s">
        <v>72</v>
      </c>
      <c r="C45" s="641">
        <v>12660</v>
      </c>
      <c r="D45" s="642">
        <f t="shared" ref="D45:D47" si="0">C45*1.2</f>
        <v>15192</v>
      </c>
    </row>
    <row r="46" spans="1:4">
      <c r="A46" s="636"/>
      <c r="B46" s="640" t="s">
        <v>73</v>
      </c>
      <c r="C46" s="641">
        <v>13070</v>
      </c>
      <c r="D46" s="642">
        <f t="shared" si="0"/>
        <v>15684</v>
      </c>
    </row>
    <row r="47" spans="1:4">
      <c r="A47" s="636"/>
      <c r="B47" s="640" t="s">
        <v>74</v>
      </c>
      <c r="C47" s="641">
        <v>13070</v>
      </c>
      <c r="D47" s="642">
        <f t="shared" si="0"/>
        <v>15684</v>
      </c>
    </row>
    <row r="48" spans="1:4">
      <c r="A48" s="636"/>
      <c r="B48" s="637" t="s">
        <v>75</v>
      </c>
      <c r="C48" s="641"/>
      <c r="D48" s="642"/>
    </row>
    <row r="49" spans="1:4">
      <c r="A49" s="636"/>
      <c r="B49" s="640" t="s">
        <v>71</v>
      </c>
      <c r="C49" s="641">
        <v>12660</v>
      </c>
      <c r="D49" s="642">
        <f>C49*1.2</f>
        <v>15192</v>
      </c>
    </row>
    <row r="50" spans="1:4">
      <c r="A50" s="636"/>
      <c r="B50" s="640" t="s">
        <v>72</v>
      </c>
      <c r="C50" s="641">
        <v>12660</v>
      </c>
      <c r="D50" s="642">
        <f t="shared" ref="D50:D52" si="1">C50*1.2</f>
        <v>15192</v>
      </c>
    </row>
    <row r="51" spans="1:4">
      <c r="A51" s="636"/>
      <c r="B51" s="640" t="s">
        <v>73</v>
      </c>
      <c r="C51" s="641">
        <v>13070</v>
      </c>
      <c r="D51" s="642">
        <f t="shared" si="1"/>
        <v>15684</v>
      </c>
    </row>
    <row r="52" spans="1:4">
      <c r="A52" s="636"/>
      <c r="B52" s="640" t="s">
        <v>74</v>
      </c>
      <c r="C52" s="641">
        <v>13070</v>
      </c>
      <c r="D52" s="642">
        <f t="shared" si="1"/>
        <v>15684</v>
      </c>
    </row>
    <row r="53" spans="1:4">
      <c r="A53" s="636"/>
      <c r="B53" s="637" t="s">
        <v>76</v>
      </c>
      <c r="C53" s="641"/>
      <c r="D53" s="642"/>
    </row>
    <row r="54" spans="1:4">
      <c r="A54" s="636"/>
      <c r="B54" s="640" t="s">
        <v>71</v>
      </c>
      <c r="C54" s="641">
        <v>12660</v>
      </c>
      <c r="D54" s="642">
        <f>C54*1.2</f>
        <v>15192</v>
      </c>
    </row>
    <row r="55" spans="1:4">
      <c r="A55" s="636"/>
      <c r="B55" s="640" t="s">
        <v>72</v>
      </c>
      <c r="C55" s="641">
        <v>12660</v>
      </c>
      <c r="D55" s="642">
        <f t="shared" ref="D55:D57" si="2">C55*1.2</f>
        <v>15192</v>
      </c>
    </row>
    <row r="56" spans="1:4">
      <c r="A56" s="636"/>
      <c r="B56" s="640" t="s">
        <v>73</v>
      </c>
      <c r="C56" s="641">
        <v>13070</v>
      </c>
      <c r="D56" s="642">
        <f t="shared" si="2"/>
        <v>15684</v>
      </c>
    </row>
    <row r="57" spans="1:4">
      <c r="A57" s="636"/>
      <c r="B57" s="640" t="s">
        <v>74</v>
      </c>
      <c r="C57" s="641">
        <v>13070</v>
      </c>
      <c r="D57" s="642">
        <f t="shared" si="2"/>
        <v>15684</v>
      </c>
    </row>
    <row r="58" spans="1:4">
      <c r="A58" s="636"/>
      <c r="B58" s="637" t="s">
        <v>77</v>
      </c>
      <c r="C58" s="641"/>
      <c r="D58" s="642"/>
    </row>
    <row r="59" spans="1:4">
      <c r="A59" s="636"/>
      <c r="B59" s="640" t="s">
        <v>71</v>
      </c>
      <c r="C59" s="641">
        <v>14660</v>
      </c>
      <c r="D59" s="642">
        <f>C59*1.2</f>
        <v>17592</v>
      </c>
    </row>
    <row r="60" spans="1:4">
      <c r="A60" s="636"/>
      <c r="B60" s="640" t="s">
        <v>72</v>
      </c>
      <c r="C60" s="641">
        <v>14660</v>
      </c>
      <c r="D60" s="642">
        <f t="shared" ref="D60:D62" si="3">C60*1.2</f>
        <v>17592</v>
      </c>
    </row>
    <row r="61" spans="1:4">
      <c r="A61" s="636"/>
      <c r="B61" s="640" t="s">
        <v>73</v>
      </c>
      <c r="C61" s="641">
        <v>15070</v>
      </c>
      <c r="D61" s="642">
        <f t="shared" si="3"/>
        <v>18084</v>
      </c>
    </row>
    <row r="62" spans="1:4">
      <c r="A62" s="636"/>
      <c r="B62" s="640" t="s">
        <v>74</v>
      </c>
      <c r="C62" s="641">
        <v>15070</v>
      </c>
      <c r="D62" s="642">
        <f t="shared" si="3"/>
        <v>18084</v>
      </c>
    </row>
    <row r="63" spans="1:4">
      <c r="A63" s="636"/>
      <c r="B63" s="637" t="s">
        <v>78</v>
      </c>
      <c r="C63" s="641"/>
      <c r="D63" s="642"/>
    </row>
    <row r="64" spans="1:4">
      <c r="A64" s="636"/>
      <c r="B64" s="640" t="s">
        <v>71</v>
      </c>
      <c r="C64" s="641">
        <v>18160</v>
      </c>
      <c r="D64" s="642">
        <f>C64*1.2</f>
        <v>21792</v>
      </c>
    </row>
    <row r="65" spans="1:4">
      <c r="A65" s="636"/>
      <c r="B65" s="640" t="s">
        <v>72</v>
      </c>
      <c r="C65" s="641">
        <v>18160</v>
      </c>
      <c r="D65" s="642">
        <f t="shared" ref="D65:D67" si="4">C65*1.2</f>
        <v>21792</v>
      </c>
    </row>
    <row r="66" spans="1:4">
      <c r="A66" s="636"/>
      <c r="B66" s="640" t="s">
        <v>73</v>
      </c>
      <c r="C66" s="641">
        <v>18570</v>
      </c>
      <c r="D66" s="642">
        <f t="shared" si="4"/>
        <v>22284</v>
      </c>
    </row>
    <row r="67" spans="1:4" ht="13.9" thickBot="1">
      <c r="A67" s="373"/>
      <c r="B67" s="374" t="s">
        <v>74</v>
      </c>
      <c r="C67" s="375">
        <v>18570</v>
      </c>
      <c r="D67" s="376">
        <f t="shared" si="4"/>
        <v>22284</v>
      </c>
    </row>
  </sheetData>
  <mergeCells count="16">
    <mergeCell ref="A35:A40"/>
    <mergeCell ref="A33:D33"/>
    <mergeCell ref="C19:D27"/>
    <mergeCell ref="C29:D29"/>
    <mergeCell ref="C30:D30"/>
    <mergeCell ref="C32:D32"/>
    <mergeCell ref="C31:D31"/>
    <mergeCell ref="C28:D28"/>
    <mergeCell ref="A12:D12"/>
    <mergeCell ref="C13:D13"/>
    <mergeCell ref="C14:D14"/>
    <mergeCell ref="A1:D1"/>
    <mergeCell ref="A2:D2"/>
    <mergeCell ref="A3:D3"/>
    <mergeCell ref="C5:D5"/>
    <mergeCell ref="C6:D6"/>
  </mergeCells>
  <printOptions horizontalCentered="1"/>
  <pageMargins left="0.59055118110236227" right="0.39370078740157483" top="0.39370078740157483" bottom="0.39370078740157483" header="0.31496062992125984" footer="0.15748031496062992"/>
  <pageSetup paperSize="9" scale="79"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6"/>
  <sheetViews>
    <sheetView workbookViewId="0">
      <pane xSplit="2" ySplit="10" topLeftCell="K53" activePane="bottomRight" state="frozen"/>
      <selection pane="bottomRight" activeCell="B17" sqref="B17"/>
      <selection pane="bottomLeft" activeCell="A11" sqref="A11"/>
      <selection pane="topRight" activeCell="C1" sqref="C1"/>
    </sheetView>
  </sheetViews>
  <sheetFormatPr defaultRowHeight="15"/>
  <cols>
    <col min="1" max="1" width="8.85546875" style="73" customWidth="1"/>
    <col min="2" max="2" width="59" customWidth="1"/>
    <col min="3" max="3" width="14.140625" style="88" hidden="1" customWidth="1"/>
    <col min="4" max="4" width="11.5703125" hidden="1" customWidth="1"/>
    <col min="5" max="5" width="15.85546875" hidden="1" customWidth="1"/>
    <col min="6" max="6" width="14.5703125" hidden="1" customWidth="1"/>
    <col min="7" max="7" width="15" hidden="1" customWidth="1"/>
    <col min="8" max="8" width="20" hidden="1" customWidth="1"/>
    <col min="9" max="9" width="16.140625" style="350" hidden="1" customWidth="1"/>
    <col min="10" max="10" width="19.7109375" hidden="1" customWidth="1"/>
    <col min="11" max="11" width="22.5703125" style="350" customWidth="1"/>
    <col min="12" max="12" width="12.5703125" style="350" customWidth="1"/>
    <col min="13" max="13" width="21.140625" style="350" customWidth="1"/>
    <col min="14" max="14" width="9.140625" style="305"/>
  </cols>
  <sheetData>
    <row r="1" spans="1:17">
      <c r="A1" s="121"/>
      <c r="B1" s="122"/>
      <c r="C1" s="123"/>
      <c r="D1" s="122"/>
      <c r="E1" s="122"/>
      <c r="F1" s="122"/>
      <c r="G1" s="122"/>
      <c r="H1" s="122"/>
      <c r="I1" s="304"/>
      <c r="J1" s="273" t="str">
        <f>'[3]МР1 ТУ'!K1</f>
        <v>Додаток № ___ до наказу № ________________________  від _____ 2021р.</v>
      </c>
      <c r="K1" s="304"/>
      <c r="L1" s="304"/>
      <c r="M1" s="304"/>
    </row>
    <row r="2" spans="1:17">
      <c r="A2" s="121"/>
      <c r="B2" s="122"/>
      <c r="C2" s="123"/>
      <c r="D2" s="122"/>
      <c r="E2" s="122"/>
      <c r="F2" s="122"/>
      <c r="G2" s="122"/>
      <c r="H2" s="122"/>
      <c r="I2" s="304"/>
      <c r="J2" s="122"/>
      <c r="K2" s="304"/>
      <c r="L2" s="304"/>
      <c r="M2" s="304"/>
    </row>
    <row r="3" spans="1:17" ht="19.5" customHeight="1">
      <c r="A3" s="125" t="str">
        <f>'[4]МР1 Видача ТУ'!A3:B3</f>
        <v>ПОГОДЖЕНО</v>
      </c>
      <c r="B3" s="125"/>
      <c r="C3" s="126"/>
      <c r="D3" s="127"/>
      <c r="E3" s="127"/>
      <c r="F3" s="128"/>
      <c r="G3" s="129"/>
      <c r="H3" s="129"/>
      <c r="I3" s="306"/>
      <c r="J3" s="125" t="s">
        <v>296</v>
      </c>
      <c r="K3" s="307"/>
      <c r="L3" s="307"/>
      <c r="M3" s="307"/>
    </row>
    <row r="4" spans="1:17" s="11" customFormat="1" ht="21" customHeight="1">
      <c r="A4" s="125" t="str">
        <f>'[4]МР1 Видача ТУ'!A4:B4</f>
        <v>Директор фінансовий</v>
      </c>
      <c r="B4" s="125"/>
      <c r="C4" s="130"/>
      <c r="D4" s="132"/>
      <c r="E4" s="132"/>
      <c r="F4" s="133"/>
      <c r="G4" s="134"/>
      <c r="H4" s="134"/>
      <c r="I4" s="308"/>
      <c r="J4" s="125" t="s">
        <v>297</v>
      </c>
      <c r="K4" s="307"/>
      <c r="L4" s="307"/>
      <c r="M4" s="307"/>
      <c r="N4" s="309"/>
    </row>
    <row r="5" spans="1:17" s="11" customFormat="1" ht="18" customHeight="1">
      <c r="A5" s="673" t="str">
        <f>'[3]МР1 ТУ'!A5:B5</f>
        <v xml:space="preserve">                      А. В. Шаповалов</v>
      </c>
      <c r="B5" s="673"/>
      <c r="C5" s="137"/>
      <c r="D5" s="132"/>
      <c r="E5" s="132"/>
      <c r="F5" s="133"/>
      <c r="G5" s="134"/>
      <c r="H5" s="134"/>
      <c r="I5" s="310"/>
      <c r="J5" s="130"/>
      <c r="K5" s="307"/>
      <c r="L5" s="686" t="s">
        <v>298</v>
      </c>
      <c r="M5" s="686"/>
      <c r="N5" s="309"/>
    </row>
    <row r="6" spans="1:17" s="11" customFormat="1" ht="27" customHeight="1">
      <c r="A6" s="138"/>
      <c r="B6" s="138"/>
      <c r="C6" s="139"/>
      <c r="D6" s="140"/>
      <c r="E6" s="140"/>
      <c r="F6" s="122"/>
      <c r="G6" s="141"/>
      <c r="H6" s="141"/>
      <c r="I6" s="311"/>
      <c r="J6" s="139"/>
      <c r="K6" s="311"/>
      <c r="L6" s="311"/>
      <c r="M6" s="311"/>
      <c r="N6" s="309"/>
    </row>
    <row r="7" spans="1:17" s="11" customFormat="1" ht="19.5" customHeight="1">
      <c r="A7" s="675" t="s">
        <v>79</v>
      </c>
      <c r="B7" s="675"/>
      <c r="C7" s="675"/>
      <c r="D7" s="675"/>
      <c r="E7" s="675"/>
      <c r="F7" s="675"/>
      <c r="G7" s="675"/>
      <c r="H7" s="675"/>
      <c r="I7" s="675"/>
      <c r="J7" s="675"/>
      <c r="K7" s="675"/>
      <c r="L7" s="675"/>
      <c r="M7" s="675"/>
      <c r="N7" s="309"/>
    </row>
    <row r="8" spans="1:17" s="11" customFormat="1" ht="42.75" customHeight="1">
      <c r="A8" s="673" t="s">
        <v>299</v>
      </c>
      <c r="B8" s="673"/>
      <c r="C8" s="673"/>
      <c r="D8" s="673"/>
      <c r="E8" s="673"/>
      <c r="F8" s="673"/>
      <c r="G8" s="673"/>
      <c r="H8" s="673"/>
      <c r="I8" s="673"/>
      <c r="J8" s="673"/>
      <c r="K8" s="673"/>
      <c r="L8" s="673"/>
      <c r="M8" s="673"/>
      <c r="N8" s="309"/>
    </row>
    <row r="9" spans="1:17" s="11" customFormat="1" ht="17.25" customHeight="1">
      <c r="A9" s="131"/>
      <c r="B9" s="131"/>
      <c r="C9" s="131"/>
      <c r="D9" s="131"/>
      <c r="E9" s="131"/>
      <c r="F9" s="131"/>
      <c r="G9" s="131"/>
      <c r="H9" s="131"/>
      <c r="I9" s="312"/>
      <c r="J9" s="131"/>
      <c r="K9" s="312"/>
      <c r="L9" s="312"/>
      <c r="M9" s="312"/>
      <c r="N9" s="309"/>
    </row>
    <row r="10" spans="1:17" s="320" customFormat="1" ht="15.75" customHeight="1" thickBot="1">
      <c r="A10" s="674" t="str">
        <f>'[3]МР1 ТУ'!A10</f>
        <v>Вводиться в дію з "01" серпня 2021р.</v>
      </c>
      <c r="B10" s="674"/>
      <c r="C10" s="313"/>
      <c r="D10" s="314"/>
      <c r="E10" s="314"/>
      <c r="F10" s="315"/>
      <c r="G10" s="315"/>
      <c r="H10" s="315"/>
      <c r="I10" s="316"/>
      <c r="J10" s="315"/>
      <c r="K10" s="317"/>
      <c r="L10" s="318"/>
      <c r="M10" s="319" t="s">
        <v>81</v>
      </c>
      <c r="N10" s="309"/>
    </row>
    <row r="11" spans="1:17" ht="59.25" customHeight="1" thickBot="1">
      <c r="A11" s="274" t="s">
        <v>82</v>
      </c>
      <c r="B11" s="275" t="s">
        <v>83</v>
      </c>
      <c r="C11" s="276" t="s">
        <v>84</v>
      </c>
      <c r="D11" s="277" t="s">
        <v>300</v>
      </c>
      <c r="E11" s="278" t="s">
        <v>85</v>
      </c>
      <c r="F11" s="277" t="s">
        <v>235</v>
      </c>
      <c r="G11" s="277" t="s">
        <v>87</v>
      </c>
      <c r="H11" s="277" t="s">
        <v>88</v>
      </c>
      <c r="I11" s="321" t="s">
        <v>89</v>
      </c>
      <c r="J11" s="277" t="s">
        <v>90</v>
      </c>
      <c r="K11" s="322" t="s">
        <v>91</v>
      </c>
      <c r="L11" s="322" t="s">
        <v>92</v>
      </c>
      <c r="M11" s="323" t="s">
        <v>93</v>
      </c>
    </row>
    <row r="12" spans="1:17" ht="27" customHeight="1">
      <c r="A12" s="153" t="s">
        <v>94</v>
      </c>
      <c r="B12" s="154" t="s">
        <v>301</v>
      </c>
      <c r="C12" s="155"/>
      <c r="D12" s="156"/>
      <c r="E12" s="156"/>
      <c r="F12" s="156"/>
      <c r="G12" s="156"/>
      <c r="H12" s="156"/>
      <c r="I12" s="324"/>
      <c r="J12" s="156"/>
      <c r="K12" s="325"/>
      <c r="L12" s="325"/>
      <c r="M12" s="326"/>
    </row>
    <row r="13" spans="1:17" ht="18" customHeight="1">
      <c r="A13" s="351" t="s">
        <v>97</v>
      </c>
      <c r="B13" s="352" t="s">
        <v>98</v>
      </c>
      <c r="C13" s="353" t="s">
        <v>99</v>
      </c>
      <c r="D13" s="354">
        <v>1175.9000000000001</v>
      </c>
      <c r="E13" s="355">
        <v>10.73</v>
      </c>
      <c r="F13" s="355">
        <v>1181.47</v>
      </c>
      <c r="G13" s="355">
        <v>259.92</v>
      </c>
      <c r="H13" s="355">
        <v>17.170000000000002</v>
      </c>
      <c r="I13" s="355">
        <f>F13+G13+H13</f>
        <v>1458.5600000000002</v>
      </c>
      <c r="J13" s="355">
        <f>172.75+0.02</f>
        <v>172.77</v>
      </c>
      <c r="K13" s="356">
        <v>1631.31</v>
      </c>
      <c r="L13" s="355">
        <v>326.26</v>
      </c>
      <c r="M13" s="357">
        <v>1957.57</v>
      </c>
      <c r="Q13" s="49"/>
    </row>
    <row r="14" spans="1:17" ht="18" customHeight="1">
      <c r="A14" s="351" t="s">
        <v>100</v>
      </c>
      <c r="B14" s="352" t="s">
        <v>101</v>
      </c>
      <c r="C14" s="353" t="s">
        <v>102</v>
      </c>
      <c r="D14" s="354">
        <v>1276.96</v>
      </c>
      <c r="E14" s="355">
        <v>11.65</v>
      </c>
      <c r="F14" s="355">
        <v>1283.01</v>
      </c>
      <c r="G14" s="355">
        <v>554.89</v>
      </c>
      <c r="H14" s="355">
        <v>20.59</v>
      </c>
      <c r="I14" s="355">
        <f t="shared" ref="I14:I66" si="0">F14+G14+H14</f>
        <v>1858.49</v>
      </c>
      <c r="J14" s="355">
        <f>207.21+0.05</f>
        <v>207.26000000000002</v>
      </c>
      <c r="K14" s="356">
        <v>2065.6999999999998</v>
      </c>
      <c r="L14" s="355">
        <v>413.14</v>
      </c>
      <c r="M14" s="357">
        <v>2478.84</v>
      </c>
      <c r="Q14" s="49"/>
    </row>
    <row r="15" spans="1:17" ht="18" customHeight="1">
      <c r="A15" s="362" t="s">
        <v>103</v>
      </c>
      <c r="B15" s="213" t="s">
        <v>104</v>
      </c>
      <c r="C15" s="214" t="s">
        <v>105</v>
      </c>
      <c r="D15" s="215">
        <v>1616.75</v>
      </c>
      <c r="E15" s="363">
        <v>14.75</v>
      </c>
      <c r="F15" s="363">
        <v>1624.42</v>
      </c>
      <c r="G15" s="363">
        <v>702.52</v>
      </c>
      <c r="H15" s="363">
        <v>26.08</v>
      </c>
      <c r="I15" s="363">
        <f t="shared" si="0"/>
        <v>2353.02</v>
      </c>
      <c r="J15" s="363">
        <f>262.43+0.05</f>
        <v>262.48</v>
      </c>
      <c r="K15" s="364">
        <v>2615.4499999999998</v>
      </c>
      <c r="L15" s="363">
        <v>523.09</v>
      </c>
      <c r="M15" s="365">
        <v>3138.54</v>
      </c>
      <c r="Q15" s="49"/>
    </row>
    <row r="16" spans="1:17" ht="18" customHeight="1">
      <c r="A16" s="358" t="s">
        <v>106</v>
      </c>
      <c r="B16" s="227" t="s">
        <v>107</v>
      </c>
      <c r="C16" s="228" t="s">
        <v>108</v>
      </c>
      <c r="D16" s="229">
        <v>1914.89</v>
      </c>
      <c r="E16" s="359">
        <v>17.47</v>
      </c>
      <c r="F16" s="359">
        <v>1923.97</v>
      </c>
      <c r="G16" s="359">
        <v>832.08</v>
      </c>
      <c r="H16" s="359">
        <v>30.88</v>
      </c>
      <c r="I16" s="359">
        <f t="shared" si="0"/>
        <v>2786.9300000000003</v>
      </c>
      <c r="J16" s="359">
        <f>310.73+0.01</f>
        <v>310.74</v>
      </c>
      <c r="K16" s="360">
        <v>3097.66</v>
      </c>
      <c r="L16" s="359">
        <v>619.53</v>
      </c>
      <c r="M16" s="361">
        <v>3717.19</v>
      </c>
      <c r="Q16" s="49"/>
    </row>
    <row r="17" spans="1:17" ht="34.5" customHeight="1">
      <c r="A17" s="159" t="s">
        <v>109</v>
      </c>
      <c r="B17" s="160" t="s">
        <v>302</v>
      </c>
      <c r="C17" s="161"/>
      <c r="D17" s="167"/>
      <c r="E17" s="331"/>
      <c r="F17" s="331"/>
      <c r="G17" s="331"/>
      <c r="H17" s="331"/>
      <c r="I17" s="328"/>
      <c r="J17" s="331"/>
      <c r="K17" s="329"/>
      <c r="L17" s="328"/>
      <c r="M17" s="330"/>
      <c r="Q17" s="49"/>
    </row>
    <row r="18" spans="1:17" ht="17.25" customHeight="1">
      <c r="A18" s="351" t="s">
        <v>10</v>
      </c>
      <c r="B18" s="352" t="s">
        <v>111</v>
      </c>
      <c r="C18" s="353" t="s">
        <v>112</v>
      </c>
      <c r="D18" s="354">
        <v>453.79</v>
      </c>
      <c r="E18" s="355">
        <v>4.1399999999999997</v>
      </c>
      <c r="F18" s="355">
        <v>455.94</v>
      </c>
      <c r="G18" s="355">
        <v>197.19</v>
      </c>
      <c r="H18" s="355">
        <v>7.31</v>
      </c>
      <c r="I18" s="355">
        <f t="shared" si="0"/>
        <v>660.43999999999994</v>
      </c>
      <c r="J18" s="355">
        <f>73.58+0.06</f>
        <v>73.64</v>
      </c>
      <c r="K18" s="356">
        <v>734.02</v>
      </c>
      <c r="L18" s="355">
        <v>146.80000000000001</v>
      </c>
      <c r="M18" s="357">
        <v>880.82</v>
      </c>
      <c r="Q18" s="49"/>
    </row>
    <row r="19" spans="1:17" ht="17.25" customHeight="1">
      <c r="A19" s="351" t="s">
        <v>12</v>
      </c>
      <c r="B19" s="352" t="s">
        <v>113</v>
      </c>
      <c r="C19" s="353" t="s">
        <v>114</v>
      </c>
      <c r="D19" s="354">
        <v>582.03</v>
      </c>
      <c r="E19" s="355">
        <v>5.31</v>
      </c>
      <c r="F19" s="355">
        <v>584.79</v>
      </c>
      <c r="G19" s="355">
        <v>252.92</v>
      </c>
      <c r="H19" s="355">
        <v>9.39</v>
      </c>
      <c r="I19" s="355">
        <f t="shared" si="0"/>
        <v>847.09999999999991</v>
      </c>
      <c r="J19" s="355">
        <f>94.51+0.06</f>
        <v>94.570000000000007</v>
      </c>
      <c r="K19" s="356">
        <v>941.61</v>
      </c>
      <c r="L19" s="355">
        <v>188.32</v>
      </c>
      <c r="M19" s="357">
        <v>1129.93</v>
      </c>
      <c r="Q19" s="49"/>
    </row>
    <row r="20" spans="1:17" ht="17.25" customHeight="1">
      <c r="A20" s="351" t="s">
        <v>14</v>
      </c>
      <c r="B20" s="352" t="s">
        <v>115</v>
      </c>
      <c r="C20" s="353" t="s">
        <v>116</v>
      </c>
      <c r="D20" s="354">
        <v>694.93</v>
      </c>
      <c r="E20" s="355">
        <v>6.34</v>
      </c>
      <c r="F20" s="355">
        <v>698.22</v>
      </c>
      <c r="G20" s="355">
        <v>301.98</v>
      </c>
      <c r="H20" s="355">
        <v>11.22</v>
      </c>
      <c r="I20" s="355">
        <f t="shared" si="0"/>
        <v>1011.4200000000001</v>
      </c>
      <c r="J20" s="355">
        <f>112.86+0.05</f>
        <v>112.91</v>
      </c>
      <c r="K20" s="356">
        <v>1124.28</v>
      </c>
      <c r="L20" s="355">
        <v>224.86</v>
      </c>
      <c r="M20" s="357">
        <v>1349.14</v>
      </c>
      <c r="Q20" s="49"/>
    </row>
    <row r="21" spans="1:17" ht="17.25" customHeight="1">
      <c r="A21" s="351" t="s">
        <v>16</v>
      </c>
      <c r="B21" s="352" t="s">
        <v>117</v>
      </c>
      <c r="C21" s="353" t="s">
        <v>118</v>
      </c>
      <c r="D21" s="354">
        <v>881.26</v>
      </c>
      <c r="E21" s="355">
        <v>8.0399999999999991</v>
      </c>
      <c r="F21" s="355">
        <v>885.45</v>
      </c>
      <c r="G21" s="355">
        <v>382.93</v>
      </c>
      <c r="H21" s="355">
        <v>14.21</v>
      </c>
      <c r="I21" s="355">
        <f t="shared" si="0"/>
        <v>1282.5900000000001</v>
      </c>
      <c r="J21" s="355">
        <f>142.97+0.02</f>
        <v>142.99</v>
      </c>
      <c r="K21" s="356">
        <v>1425.56</v>
      </c>
      <c r="L21" s="355">
        <v>285.11</v>
      </c>
      <c r="M21" s="357">
        <v>1710.67</v>
      </c>
      <c r="Q21" s="49"/>
    </row>
    <row r="22" spans="1:17" ht="17.25" customHeight="1">
      <c r="A22" s="362" t="s">
        <v>18</v>
      </c>
      <c r="B22" s="213" t="s">
        <v>119</v>
      </c>
      <c r="C22" s="214" t="s">
        <v>120</v>
      </c>
      <c r="D22" s="215">
        <v>951.41</v>
      </c>
      <c r="E22" s="363">
        <v>8.68</v>
      </c>
      <c r="F22" s="363">
        <v>955.93</v>
      </c>
      <c r="G22" s="363">
        <v>413.42</v>
      </c>
      <c r="H22" s="363">
        <v>15.34</v>
      </c>
      <c r="I22" s="363">
        <f t="shared" si="0"/>
        <v>1384.6899999999998</v>
      </c>
      <c r="J22" s="363">
        <f>154.4+0.08</f>
        <v>154.48000000000002</v>
      </c>
      <c r="K22" s="364">
        <v>1539.09</v>
      </c>
      <c r="L22" s="363">
        <v>307.82</v>
      </c>
      <c r="M22" s="365">
        <v>1846.91</v>
      </c>
      <c r="Q22" s="49"/>
    </row>
    <row r="23" spans="1:17" ht="17.25" customHeight="1">
      <c r="A23" s="362" t="s">
        <v>121</v>
      </c>
      <c r="B23" s="213" t="s">
        <v>122</v>
      </c>
      <c r="C23" s="214" t="s">
        <v>123</v>
      </c>
      <c r="D23" s="215">
        <v>1077.47</v>
      </c>
      <c r="E23" s="363">
        <v>9.83</v>
      </c>
      <c r="F23" s="363">
        <v>1082.58</v>
      </c>
      <c r="G23" s="363">
        <v>468.19</v>
      </c>
      <c r="H23" s="363">
        <v>17.38</v>
      </c>
      <c r="I23" s="363">
        <f t="shared" si="0"/>
        <v>1568.15</v>
      </c>
      <c r="J23" s="363">
        <v>174.85</v>
      </c>
      <c r="K23" s="364">
        <v>1743</v>
      </c>
      <c r="L23" s="363">
        <v>348.6</v>
      </c>
      <c r="M23" s="365">
        <v>2091.6</v>
      </c>
      <c r="Q23" s="49"/>
    </row>
    <row r="24" spans="1:17" ht="17.25" customHeight="1">
      <c r="A24" s="358" t="s">
        <v>124</v>
      </c>
      <c r="B24" s="227" t="s">
        <v>125</v>
      </c>
      <c r="C24" s="228" t="s">
        <v>126</v>
      </c>
      <c r="D24" s="229">
        <v>1233.1099999999999</v>
      </c>
      <c r="E24" s="359">
        <v>11.25</v>
      </c>
      <c r="F24" s="359">
        <v>1238.96</v>
      </c>
      <c r="G24" s="359">
        <v>535.83000000000004</v>
      </c>
      <c r="H24" s="359">
        <v>19.89</v>
      </c>
      <c r="I24" s="359">
        <f t="shared" si="0"/>
        <v>1794.68</v>
      </c>
      <c r="J24" s="359">
        <f>200.12+0.03</f>
        <v>200.15</v>
      </c>
      <c r="K24" s="360">
        <v>1994.8</v>
      </c>
      <c r="L24" s="359">
        <v>398.96</v>
      </c>
      <c r="M24" s="361">
        <v>2393.7600000000002</v>
      </c>
      <c r="Q24" s="49"/>
    </row>
    <row r="25" spans="1:17" ht="34.5" customHeight="1">
      <c r="A25" s="168" t="s">
        <v>127</v>
      </c>
      <c r="B25" s="169" t="s">
        <v>303</v>
      </c>
      <c r="C25" s="170"/>
      <c r="D25" s="172"/>
      <c r="E25" s="332"/>
      <c r="F25" s="332"/>
      <c r="G25" s="332"/>
      <c r="H25" s="332"/>
      <c r="I25" s="328"/>
      <c r="J25" s="332"/>
      <c r="K25" s="329"/>
      <c r="L25" s="328"/>
      <c r="M25" s="330"/>
      <c r="Q25" s="49"/>
    </row>
    <row r="26" spans="1:17" ht="17.25" customHeight="1">
      <c r="A26" s="362" t="s">
        <v>129</v>
      </c>
      <c r="B26" s="213" t="s">
        <v>130</v>
      </c>
      <c r="C26" s="214" t="s">
        <v>131</v>
      </c>
      <c r="D26" s="215">
        <v>968.95</v>
      </c>
      <c r="E26" s="363">
        <v>8.84</v>
      </c>
      <c r="F26" s="363">
        <v>973.55</v>
      </c>
      <c r="G26" s="363">
        <v>398.49</v>
      </c>
      <c r="H26" s="363">
        <v>15.47</v>
      </c>
      <c r="I26" s="363">
        <f t="shared" si="0"/>
        <v>1387.51</v>
      </c>
      <c r="J26" s="363">
        <f>155.69+0.05</f>
        <v>155.74</v>
      </c>
      <c r="K26" s="364">
        <v>1543.2</v>
      </c>
      <c r="L26" s="363">
        <v>308.64</v>
      </c>
      <c r="M26" s="365">
        <v>1851.84</v>
      </c>
      <c r="Q26" s="49"/>
    </row>
    <row r="27" spans="1:17" ht="17.25" customHeight="1">
      <c r="A27" s="362" t="s">
        <v>132</v>
      </c>
      <c r="B27" s="213" t="s">
        <v>122</v>
      </c>
      <c r="C27" s="214" t="s">
        <v>133</v>
      </c>
      <c r="D27" s="215">
        <v>1069.79</v>
      </c>
      <c r="E27" s="363">
        <v>9.76</v>
      </c>
      <c r="F27" s="363">
        <v>1074.8699999999999</v>
      </c>
      <c r="G27" s="363">
        <v>439.96</v>
      </c>
      <c r="H27" s="363">
        <v>17.09</v>
      </c>
      <c r="I27" s="363">
        <f t="shared" si="0"/>
        <v>1531.9199999999998</v>
      </c>
      <c r="J27" s="363">
        <f>171.95+0.05</f>
        <v>172</v>
      </c>
      <c r="K27" s="364">
        <v>1703.87</v>
      </c>
      <c r="L27" s="363">
        <v>340.77</v>
      </c>
      <c r="M27" s="365">
        <v>2044.64</v>
      </c>
      <c r="Q27" s="49"/>
    </row>
    <row r="28" spans="1:17" ht="17.25" customHeight="1">
      <c r="A28" s="358" t="s">
        <v>134</v>
      </c>
      <c r="B28" s="227" t="s">
        <v>125</v>
      </c>
      <c r="C28" s="228" t="s">
        <v>135</v>
      </c>
      <c r="D28" s="229">
        <v>1183.79</v>
      </c>
      <c r="E28" s="359">
        <v>10.8</v>
      </c>
      <c r="F28" s="359">
        <v>1189.4000000000001</v>
      </c>
      <c r="G28" s="359">
        <v>486.85</v>
      </c>
      <c r="H28" s="359">
        <v>18.91</v>
      </c>
      <c r="I28" s="359">
        <f t="shared" si="0"/>
        <v>1695.16</v>
      </c>
      <c r="J28" s="359">
        <f>190.3+0.04</f>
        <v>190.34</v>
      </c>
      <c r="K28" s="360">
        <v>1885.46</v>
      </c>
      <c r="L28" s="359">
        <v>377.09</v>
      </c>
      <c r="M28" s="361">
        <v>2262.5500000000002</v>
      </c>
      <c r="Q28" s="49"/>
    </row>
    <row r="29" spans="1:17" ht="17.25" customHeight="1">
      <c r="A29" s="366" t="s">
        <v>136</v>
      </c>
      <c r="B29" s="221" t="s">
        <v>137</v>
      </c>
      <c r="C29" s="222" t="s">
        <v>138</v>
      </c>
      <c r="D29" s="223">
        <v>1326.28</v>
      </c>
      <c r="E29" s="367">
        <v>12.1</v>
      </c>
      <c r="F29" s="367">
        <v>1332.57</v>
      </c>
      <c r="G29" s="367">
        <v>545.45000000000005</v>
      </c>
      <c r="H29" s="367">
        <v>21.18</v>
      </c>
      <c r="I29" s="367">
        <f t="shared" si="0"/>
        <v>1899.2</v>
      </c>
      <c r="J29" s="367">
        <f>213.16+0.06</f>
        <v>213.22</v>
      </c>
      <c r="K29" s="368">
        <v>2112.36</v>
      </c>
      <c r="L29" s="367">
        <v>422.47</v>
      </c>
      <c r="M29" s="369">
        <v>2534.83</v>
      </c>
      <c r="Q29" s="49"/>
    </row>
    <row r="30" spans="1:17" ht="17.25" customHeight="1">
      <c r="A30" s="168" t="s">
        <v>139</v>
      </c>
      <c r="B30" s="169" t="s">
        <v>140</v>
      </c>
      <c r="C30" s="170" t="s">
        <v>141</v>
      </c>
      <c r="D30" s="171">
        <v>1627.71</v>
      </c>
      <c r="E30" s="327">
        <v>14.85</v>
      </c>
      <c r="F30" s="328">
        <v>1635.43</v>
      </c>
      <c r="G30" s="327">
        <v>669.42</v>
      </c>
      <c r="H30" s="328">
        <v>26</v>
      </c>
      <c r="I30" s="328">
        <f t="shared" si="0"/>
        <v>2330.85</v>
      </c>
      <c r="J30" s="328">
        <f>261.63+0.02</f>
        <v>261.64999999999998</v>
      </c>
      <c r="K30" s="329">
        <v>2592.48</v>
      </c>
      <c r="L30" s="328">
        <v>518.5</v>
      </c>
      <c r="M30" s="330">
        <v>3110.98</v>
      </c>
      <c r="Q30" s="49"/>
    </row>
    <row r="31" spans="1:17" ht="17.25" customHeight="1">
      <c r="A31" s="168" t="s">
        <v>142</v>
      </c>
      <c r="B31" s="169" t="s">
        <v>143</v>
      </c>
      <c r="C31" s="170" t="s">
        <v>144</v>
      </c>
      <c r="D31" s="171">
        <v>2375.25</v>
      </c>
      <c r="E31" s="327">
        <v>21.67</v>
      </c>
      <c r="F31" s="328">
        <v>2386.52</v>
      </c>
      <c r="G31" s="327">
        <v>976.85</v>
      </c>
      <c r="H31" s="328">
        <v>37.94</v>
      </c>
      <c r="I31" s="328">
        <f t="shared" si="0"/>
        <v>3401.31</v>
      </c>
      <c r="J31" s="328">
        <f>381.73+0.04</f>
        <v>381.77000000000004</v>
      </c>
      <c r="K31" s="329">
        <v>3783.04</v>
      </c>
      <c r="L31" s="328">
        <v>756.61</v>
      </c>
      <c r="M31" s="330">
        <v>4539.6499999999996</v>
      </c>
      <c r="Q31" s="49"/>
    </row>
    <row r="32" spans="1:17" ht="17.25" customHeight="1">
      <c r="A32" s="168" t="s">
        <v>145</v>
      </c>
      <c r="B32" s="173" t="s">
        <v>146</v>
      </c>
      <c r="C32" s="170" t="s">
        <v>147</v>
      </c>
      <c r="D32" s="171">
        <v>2854.24</v>
      </c>
      <c r="E32" s="327">
        <v>26.04</v>
      </c>
      <c r="F32" s="328">
        <v>2867.79</v>
      </c>
      <c r="G32" s="327">
        <v>1173.8499999999999</v>
      </c>
      <c r="H32" s="328">
        <v>45.58</v>
      </c>
      <c r="I32" s="328">
        <f t="shared" si="0"/>
        <v>4087.22</v>
      </c>
      <c r="J32" s="328">
        <f>458.69+0.01</f>
        <v>458.7</v>
      </c>
      <c r="K32" s="329">
        <v>4545.91</v>
      </c>
      <c r="L32" s="328">
        <v>909.18</v>
      </c>
      <c r="M32" s="330">
        <v>5455.09</v>
      </c>
      <c r="Q32" s="49"/>
    </row>
    <row r="33" spans="1:17" ht="17.25" customHeight="1">
      <c r="A33" s="168" t="s">
        <v>148</v>
      </c>
      <c r="B33" s="173" t="s">
        <v>149</v>
      </c>
      <c r="C33" s="170" t="s">
        <v>150</v>
      </c>
      <c r="D33" s="171">
        <v>3425.31</v>
      </c>
      <c r="E33" s="327">
        <v>31.25</v>
      </c>
      <c r="F33" s="328">
        <v>3441.56</v>
      </c>
      <c r="G33" s="327">
        <v>1408.71</v>
      </c>
      <c r="H33" s="328">
        <v>54.7</v>
      </c>
      <c r="I33" s="328">
        <f t="shared" si="0"/>
        <v>4904.97</v>
      </c>
      <c r="J33" s="333">
        <f>550.46+0.07</f>
        <v>550.53000000000009</v>
      </c>
      <c r="K33" s="329">
        <v>5455.43</v>
      </c>
      <c r="L33" s="328">
        <v>1091.0899999999999</v>
      </c>
      <c r="M33" s="330">
        <v>6546.52</v>
      </c>
      <c r="Q33" s="49"/>
    </row>
    <row r="34" spans="1:17" ht="17.25" customHeight="1">
      <c r="A34" s="168" t="s">
        <v>151</v>
      </c>
      <c r="B34" s="173" t="s">
        <v>152</v>
      </c>
      <c r="C34" s="170" t="s">
        <v>153</v>
      </c>
      <c r="D34" s="171">
        <v>4346.04</v>
      </c>
      <c r="E34" s="327">
        <v>39.65</v>
      </c>
      <c r="F34" s="328">
        <v>4366.6499999999996</v>
      </c>
      <c r="G34" s="334">
        <v>1787.37</v>
      </c>
      <c r="H34" s="327">
        <v>69.41</v>
      </c>
      <c r="I34" s="328">
        <f t="shared" si="0"/>
        <v>6223.4299999999994</v>
      </c>
      <c r="J34" s="327">
        <f>698.42+0.07</f>
        <v>698.49</v>
      </c>
      <c r="K34" s="329">
        <v>6921.85</v>
      </c>
      <c r="L34" s="328">
        <v>1384.37</v>
      </c>
      <c r="M34" s="330">
        <v>8306.2199999999993</v>
      </c>
      <c r="Q34" s="49"/>
    </row>
    <row r="35" spans="1:17" ht="17.25" customHeight="1">
      <c r="A35" s="168" t="s">
        <v>154</v>
      </c>
      <c r="B35" s="173" t="s">
        <v>155</v>
      </c>
      <c r="C35" s="170" t="s">
        <v>156</v>
      </c>
      <c r="D35" s="171">
        <v>4548.82</v>
      </c>
      <c r="E35" s="327">
        <v>41.5</v>
      </c>
      <c r="F35" s="328">
        <v>4570.3999999999996</v>
      </c>
      <c r="G35" s="327">
        <v>1870.77</v>
      </c>
      <c r="H35" s="327">
        <v>72.64</v>
      </c>
      <c r="I35" s="328">
        <f t="shared" si="0"/>
        <v>6513.81</v>
      </c>
      <c r="J35" s="327">
        <v>730.94</v>
      </c>
      <c r="K35" s="329">
        <v>7244.75</v>
      </c>
      <c r="L35" s="328">
        <v>1448.95</v>
      </c>
      <c r="M35" s="330">
        <v>8693.7000000000007</v>
      </c>
      <c r="Q35" s="49"/>
    </row>
    <row r="36" spans="1:17" ht="17.25" customHeight="1">
      <c r="A36" s="168" t="s">
        <v>157</v>
      </c>
      <c r="B36" s="173" t="s">
        <v>158</v>
      </c>
      <c r="C36" s="170" t="s">
        <v>159</v>
      </c>
      <c r="D36" s="171">
        <v>5118.79</v>
      </c>
      <c r="E36" s="327">
        <v>46.7</v>
      </c>
      <c r="F36" s="328">
        <v>5143.07</v>
      </c>
      <c r="G36" s="334">
        <v>2105.17</v>
      </c>
      <c r="H36" s="327">
        <v>81.739999999999995</v>
      </c>
      <c r="I36" s="328">
        <f t="shared" si="0"/>
        <v>7329.98</v>
      </c>
      <c r="J36" s="327">
        <f>822.55+0.05</f>
        <v>822.59999999999991</v>
      </c>
      <c r="K36" s="329">
        <v>8152.53</v>
      </c>
      <c r="L36" s="328">
        <v>1630.51</v>
      </c>
      <c r="M36" s="330">
        <v>9783.0400000000009</v>
      </c>
      <c r="Q36" s="49"/>
    </row>
    <row r="37" spans="1:17" ht="17.25" customHeight="1">
      <c r="A37" s="168" t="s">
        <v>160</v>
      </c>
      <c r="B37" s="173" t="s">
        <v>161</v>
      </c>
      <c r="C37" s="170" t="s">
        <v>162</v>
      </c>
      <c r="D37" s="171">
        <v>5210.8599999999997</v>
      </c>
      <c r="E37" s="327">
        <v>47.54</v>
      </c>
      <c r="F37" s="328">
        <v>5235.58</v>
      </c>
      <c r="G37" s="327">
        <v>2143.0300000000002</v>
      </c>
      <c r="H37" s="327">
        <v>93.1</v>
      </c>
      <c r="I37" s="328">
        <f t="shared" si="0"/>
        <v>7471.7100000000009</v>
      </c>
      <c r="J37" s="327">
        <f>1040.2+0.01</f>
        <v>1040.21</v>
      </c>
      <c r="K37" s="329">
        <v>8511.91</v>
      </c>
      <c r="L37" s="328">
        <v>1702.38</v>
      </c>
      <c r="M37" s="330">
        <v>10214.290000000001</v>
      </c>
      <c r="Q37" s="49"/>
    </row>
    <row r="38" spans="1:17" ht="36.75" customHeight="1">
      <c r="A38" s="168" t="s">
        <v>163</v>
      </c>
      <c r="B38" s="169" t="s">
        <v>304</v>
      </c>
      <c r="C38" s="170"/>
      <c r="D38" s="172"/>
      <c r="E38" s="332"/>
      <c r="F38" s="332"/>
      <c r="G38" s="332"/>
      <c r="H38" s="332"/>
      <c r="I38" s="328"/>
      <c r="J38" s="332"/>
      <c r="K38" s="329"/>
      <c r="L38" s="328"/>
      <c r="M38" s="330"/>
      <c r="Q38" s="49"/>
    </row>
    <row r="39" spans="1:17" ht="18" customHeight="1">
      <c r="A39" s="362" t="s">
        <v>23</v>
      </c>
      <c r="B39" s="213" t="s">
        <v>165</v>
      </c>
      <c r="C39" s="214" t="s">
        <v>166</v>
      </c>
      <c r="D39" s="215">
        <v>620.39</v>
      </c>
      <c r="E39" s="363">
        <v>5.66</v>
      </c>
      <c r="F39" s="363">
        <v>623.34</v>
      </c>
      <c r="G39" s="363">
        <v>255.15</v>
      </c>
      <c r="H39" s="363">
        <v>9.9</v>
      </c>
      <c r="I39" s="363">
        <f t="shared" si="0"/>
        <v>888.39</v>
      </c>
      <c r="J39" s="363">
        <f>99.66+0.03</f>
        <v>99.69</v>
      </c>
      <c r="K39" s="364">
        <v>988.05</v>
      </c>
      <c r="L39" s="363">
        <v>197.61</v>
      </c>
      <c r="M39" s="365">
        <v>1185.6600000000001</v>
      </c>
      <c r="Q39" s="49"/>
    </row>
    <row r="40" spans="1:17" ht="18" customHeight="1">
      <c r="A40" s="366" t="s">
        <v>25</v>
      </c>
      <c r="B40" s="221" t="s">
        <v>137</v>
      </c>
      <c r="C40" s="222" t="s">
        <v>167</v>
      </c>
      <c r="D40" s="223">
        <v>771.65</v>
      </c>
      <c r="E40" s="367">
        <v>7.04</v>
      </c>
      <c r="F40" s="367">
        <v>775.32</v>
      </c>
      <c r="G40" s="367">
        <v>317.36</v>
      </c>
      <c r="H40" s="367">
        <v>12.32</v>
      </c>
      <c r="I40" s="367">
        <f t="shared" si="0"/>
        <v>1105</v>
      </c>
      <c r="J40" s="367">
        <f>123.97+0.03</f>
        <v>124</v>
      </c>
      <c r="K40" s="368">
        <v>1228.97</v>
      </c>
      <c r="L40" s="367">
        <v>245.79</v>
      </c>
      <c r="M40" s="369">
        <v>1474.76</v>
      </c>
      <c r="Q40" s="49"/>
    </row>
    <row r="41" spans="1:17" ht="18" customHeight="1">
      <c r="A41" s="168" t="s">
        <v>27</v>
      </c>
      <c r="B41" s="169" t="s">
        <v>140</v>
      </c>
      <c r="C41" s="170" t="s">
        <v>168</v>
      </c>
      <c r="D41" s="171">
        <v>1196.94</v>
      </c>
      <c r="E41" s="327">
        <v>10.92</v>
      </c>
      <c r="F41" s="328">
        <v>1202.6199999999999</v>
      </c>
      <c r="G41" s="327">
        <v>492.25</v>
      </c>
      <c r="H41" s="327">
        <v>19.12</v>
      </c>
      <c r="I41" s="328">
        <f t="shared" si="0"/>
        <v>1713.9899999999998</v>
      </c>
      <c r="J41" s="327">
        <f>192.4+0.03</f>
        <v>192.43</v>
      </c>
      <c r="K41" s="329">
        <v>1906.39</v>
      </c>
      <c r="L41" s="328">
        <v>381.28</v>
      </c>
      <c r="M41" s="330">
        <v>2287.67</v>
      </c>
      <c r="Q41" s="49"/>
    </row>
    <row r="42" spans="1:17" ht="18" customHeight="1">
      <c r="A42" s="168" t="s">
        <v>29</v>
      </c>
      <c r="B42" s="169" t="s">
        <v>143</v>
      </c>
      <c r="C42" s="170" t="s">
        <v>169</v>
      </c>
      <c r="D42" s="171">
        <v>1683.61</v>
      </c>
      <c r="E42" s="327">
        <v>15.36</v>
      </c>
      <c r="F42" s="328">
        <v>1691.6</v>
      </c>
      <c r="G42" s="327">
        <v>692.41</v>
      </c>
      <c r="H42" s="327">
        <v>26.88</v>
      </c>
      <c r="I42" s="328">
        <f t="shared" si="0"/>
        <v>2410.89</v>
      </c>
      <c r="J42" s="327">
        <f>270.48+0.05</f>
        <v>270.53000000000003</v>
      </c>
      <c r="K42" s="329">
        <v>2681.37</v>
      </c>
      <c r="L42" s="328">
        <v>536.27</v>
      </c>
      <c r="M42" s="330">
        <v>3217.64</v>
      </c>
      <c r="Q42" s="49"/>
    </row>
    <row r="43" spans="1:17" ht="18" customHeight="1">
      <c r="A43" s="168" t="s">
        <v>170</v>
      </c>
      <c r="B43" s="173" t="s">
        <v>171</v>
      </c>
      <c r="C43" s="170" t="s">
        <v>172</v>
      </c>
      <c r="D43" s="171">
        <v>2099.0300000000002</v>
      </c>
      <c r="E43" s="327">
        <v>19.149999999999999</v>
      </c>
      <c r="F43" s="328">
        <v>2108.9899999999998</v>
      </c>
      <c r="G43" s="327">
        <v>863.25</v>
      </c>
      <c r="H43" s="327">
        <v>33.520000000000003</v>
      </c>
      <c r="I43" s="328">
        <f t="shared" si="0"/>
        <v>3005.7599999999998</v>
      </c>
      <c r="J43" s="327">
        <f>337.3+0.02</f>
        <v>337.32</v>
      </c>
      <c r="K43" s="329">
        <v>3343.06</v>
      </c>
      <c r="L43" s="328">
        <v>668.61</v>
      </c>
      <c r="M43" s="330">
        <v>4011.67</v>
      </c>
      <c r="Q43" s="49"/>
    </row>
    <row r="44" spans="1:17" ht="18" customHeight="1">
      <c r="A44" s="168" t="s">
        <v>173</v>
      </c>
      <c r="B44" s="173" t="s">
        <v>174</v>
      </c>
      <c r="C44" s="170" t="s">
        <v>175</v>
      </c>
      <c r="D44" s="171">
        <v>2523.2199999999998</v>
      </c>
      <c r="E44" s="327">
        <v>23.02</v>
      </c>
      <c r="F44" s="328">
        <v>2535.19</v>
      </c>
      <c r="G44" s="327">
        <v>1037.71</v>
      </c>
      <c r="H44" s="327">
        <v>40.29</v>
      </c>
      <c r="I44" s="328">
        <f t="shared" si="0"/>
        <v>3613.19</v>
      </c>
      <c r="J44" s="327">
        <f>405.4+0.08</f>
        <v>405.47999999999996</v>
      </c>
      <c r="K44" s="329">
        <v>4018.59</v>
      </c>
      <c r="L44" s="328">
        <v>803.72</v>
      </c>
      <c r="M44" s="330">
        <v>4822.3100000000004</v>
      </c>
      <c r="Q44" s="49"/>
    </row>
    <row r="45" spans="1:17" ht="18" customHeight="1">
      <c r="A45" s="168" t="s">
        <v>176</v>
      </c>
      <c r="B45" s="173" t="s">
        <v>177</v>
      </c>
      <c r="C45" s="170" t="s">
        <v>178</v>
      </c>
      <c r="D45" s="171">
        <v>3461.48</v>
      </c>
      <c r="E45" s="327">
        <v>31.58</v>
      </c>
      <c r="F45" s="328">
        <v>3477.91</v>
      </c>
      <c r="G45" s="327">
        <v>1423.57</v>
      </c>
      <c r="H45" s="327">
        <v>55.28</v>
      </c>
      <c r="I45" s="328">
        <f t="shared" si="0"/>
        <v>4956.7599999999993</v>
      </c>
      <c r="J45" s="327">
        <f>556.26+0.06</f>
        <v>556.31999999999994</v>
      </c>
      <c r="K45" s="329">
        <v>5513.02</v>
      </c>
      <c r="L45" s="328">
        <v>1102.5999999999999</v>
      </c>
      <c r="M45" s="330">
        <v>6615.62</v>
      </c>
      <c r="Q45" s="49"/>
    </row>
    <row r="46" spans="1:17" ht="18" customHeight="1">
      <c r="A46" s="168" t="s">
        <v>179</v>
      </c>
      <c r="B46" s="173" t="s">
        <v>180</v>
      </c>
      <c r="C46" s="170" t="s">
        <v>181</v>
      </c>
      <c r="D46" s="171">
        <v>4235.33</v>
      </c>
      <c r="E46" s="327">
        <v>38.64</v>
      </c>
      <c r="F46" s="328">
        <v>4255.42</v>
      </c>
      <c r="G46" s="327">
        <v>1741.84</v>
      </c>
      <c r="H46" s="327">
        <v>67.63</v>
      </c>
      <c r="I46" s="328">
        <f t="shared" si="0"/>
        <v>6064.89</v>
      </c>
      <c r="J46" s="327">
        <f>680.55+0.06</f>
        <v>680.6099999999999</v>
      </c>
      <c r="K46" s="329">
        <v>6745.44</v>
      </c>
      <c r="L46" s="328">
        <v>1349.09</v>
      </c>
      <c r="M46" s="330">
        <v>8094.53</v>
      </c>
      <c r="Q46" s="49"/>
    </row>
    <row r="47" spans="1:17" ht="22.5" customHeight="1">
      <c r="A47" s="168" t="s">
        <v>182</v>
      </c>
      <c r="B47" s="169" t="s">
        <v>305</v>
      </c>
      <c r="C47" s="170"/>
      <c r="D47" s="172"/>
      <c r="E47" s="327"/>
      <c r="F47" s="327"/>
      <c r="G47" s="327"/>
      <c r="H47" s="327"/>
      <c r="I47" s="328"/>
      <c r="J47" s="327"/>
      <c r="K47" s="329"/>
      <c r="L47" s="328"/>
      <c r="M47" s="330"/>
      <c r="Q47" s="49"/>
    </row>
    <row r="48" spans="1:17" ht="18" customHeight="1">
      <c r="A48" s="168" t="s">
        <v>33</v>
      </c>
      <c r="B48" s="169" t="s">
        <v>184</v>
      </c>
      <c r="C48" s="170" t="s">
        <v>185</v>
      </c>
      <c r="D48" s="171">
        <v>3438.96</v>
      </c>
      <c r="E48" s="327">
        <v>3.56</v>
      </c>
      <c r="F48" s="328">
        <v>345.53</v>
      </c>
      <c r="G48" s="327">
        <v>149.63</v>
      </c>
      <c r="H48" s="327">
        <v>6.22</v>
      </c>
      <c r="I48" s="328">
        <f t="shared" si="0"/>
        <v>501.38</v>
      </c>
      <c r="J48" s="327">
        <f>62.63+0.07</f>
        <v>62.7</v>
      </c>
      <c r="K48" s="329">
        <v>564.01</v>
      </c>
      <c r="L48" s="328">
        <v>112.8</v>
      </c>
      <c r="M48" s="330">
        <v>676.81</v>
      </c>
      <c r="Q48" s="49"/>
    </row>
    <row r="49" spans="1:17" ht="18" customHeight="1">
      <c r="A49" s="168" t="s">
        <v>35</v>
      </c>
      <c r="B49" s="169" t="s">
        <v>186</v>
      </c>
      <c r="C49" s="170" t="s">
        <v>187</v>
      </c>
      <c r="D49" s="171">
        <v>4646.46</v>
      </c>
      <c r="E49" s="327">
        <v>4.8099999999999996</v>
      </c>
      <c r="F49" s="328">
        <v>466.86</v>
      </c>
      <c r="G49" s="327">
        <v>202.17</v>
      </c>
      <c r="H49" s="327">
        <v>8.42</v>
      </c>
      <c r="I49" s="328">
        <f t="shared" si="0"/>
        <v>677.44999999999993</v>
      </c>
      <c r="J49" s="327">
        <f>84.69+0.03</f>
        <v>84.72</v>
      </c>
      <c r="K49" s="329">
        <v>762.14</v>
      </c>
      <c r="L49" s="328">
        <v>152.43</v>
      </c>
      <c r="M49" s="330">
        <v>914.57</v>
      </c>
      <c r="Q49" s="49"/>
    </row>
    <row r="50" spans="1:17" ht="35.25" customHeight="1">
      <c r="A50" s="168" t="s">
        <v>188</v>
      </c>
      <c r="B50" s="169" t="s">
        <v>189</v>
      </c>
      <c r="C50" s="170"/>
      <c r="D50" s="172"/>
      <c r="E50" s="332"/>
      <c r="F50" s="332"/>
      <c r="G50" s="332"/>
      <c r="H50" s="332"/>
      <c r="I50" s="328"/>
      <c r="J50" s="332"/>
      <c r="K50" s="329"/>
      <c r="L50" s="328"/>
      <c r="M50" s="330"/>
      <c r="Q50" s="49"/>
    </row>
    <row r="51" spans="1:17" ht="17.25" customHeight="1">
      <c r="A51" s="168" t="s">
        <v>190</v>
      </c>
      <c r="B51" s="169" t="s">
        <v>191</v>
      </c>
      <c r="C51" s="170" t="s">
        <v>192</v>
      </c>
      <c r="D51" s="171">
        <v>465.84</v>
      </c>
      <c r="E51" s="327">
        <v>4.25</v>
      </c>
      <c r="F51" s="328">
        <v>468.05</v>
      </c>
      <c r="G51" s="327">
        <v>191.58</v>
      </c>
      <c r="H51" s="327">
        <v>7.44</v>
      </c>
      <c r="I51" s="328">
        <f t="shared" si="0"/>
        <v>667.07</v>
      </c>
      <c r="J51" s="327">
        <f>74.87+0.06</f>
        <v>74.930000000000007</v>
      </c>
      <c r="K51" s="329">
        <v>741.94</v>
      </c>
      <c r="L51" s="328">
        <v>148.38999999999999</v>
      </c>
      <c r="M51" s="330">
        <v>890.33</v>
      </c>
      <c r="Q51" s="49"/>
    </row>
    <row r="52" spans="1:17" s="60" customFormat="1" ht="17.25" customHeight="1">
      <c r="A52" s="168" t="s">
        <v>193</v>
      </c>
      <c r="B52" s="169" t="s">
        <v>194</v>
      </c>
      <c r="C52" s="170" t="s">
        <v>195</v>
      </c>
      <c r="D52" s="171">
        <v>538.19000000000005</v>
      </c>
      <c r="E52" s="327">
        <v>4.91</v>
      </c>
      <c r="F52" s="328">
        <v>540.74</v>
      </c>
      <c r="G52" s="327">
        <v>221.34</v>
      </c>
      <c r="H52" s="327">
        <v>8.59</v>
      </c>
      <c r="I52" s="328">
        <f t="shared" si="0"/>
        <v>770.67000000000007</v>
      </c>
      <c r="J52" s="327">
        <f>86.46+0.04</f>
        <v>86.5</v>
      </c>
      <c r="K52" s="329">
        <v>857.13</v>
      </c>
      <c r="L52" s="328">
        <v>171.43</v>
      </c>
      <c r="M52" s="330">
        <v>1028.56</v>
      </c>
      <c r="N52" s="335"/>
      <c r="Q52" s="49"/>
    </row>
    <row r="53" spans="1:17" s="61" customFormat="1" ht="17.25" customHeight="1">
      <c r="A53" s="168" t="s">
        <v>196</v>
      </c>
      <c r="B53" s="169" t="s">
        <v>125</v>
      </c>
      <c r="C53" s="170" t="s">
        <v>197</v>
      </c>
      <c r="D53" s="171">
        <v>668.62</v>
      </c>
      <c r="E53" s="327">
        <v>6.1</v>
      </c>
      <c r="F53" s="328">
        <v>671.79</v>
      </c>
      <c r="G53" s="327">
        <v>274.98</v>
      </c>
      <c r="H53" s="327">
        <v>10.67</v>
      </c>
      <c r="I53" s="328">
        <f t="shared" si="0"/>
        <v>957.43999999999994</v>
      </c>
      <c r="J53" s="327">
        <v>107.39</v>
      </c>
      <c r="K53" s="329">
        <v>1064.83</v>
      </c>
      <c r="L53" s="328">
        <v>212.97</v>
      </c>
      <c r="M53" s="330">
        <v>1277.8</v>
      </c>
      <c r="N53" s="336"/>
      <c r="Q53" s="49"/>
    </row>
    <row r="54" spans="1:17" s="61" customFormat="1" ht="17.25" customHeight="1">
      <c r="A54" s="168" t="s">
        <v>198</v>
      </c>
      <c r="B54" s="169" t="s">
        <v>137</v>
      </c>
      <c r="C54" s="170" t="s">
        <v>199</v>
      </c>
      <c r="D54" s="171">
        <v>710.27</v>
      </c>
      <c r="E54" s="327">
        <v>6.48</v>
      </c>
      <c r="F54" s="328">
        <v>713.64</v>
      </c>
      <c r="G54" s="327">
        <v>292.11</v>
      </c>
      <c r="H54" s="327">
        <v>11.34</v>
      </c>
      <c r="I54" s="328">
        <f t="shared" si="0"/>
        <v>1017.09</v>
      </c>
      <c r="J54" s="327">
        <f>114.15+0.01</f>
        <v>114.16000000000001</v>
      </c>
      <c r="K54" s="329">
        <v>1131.24</v>
      </c>
      <c r="L54" s="328">
        <v>226.25</v>
      </c>
      <c r="M54" s="330">
        <v>1357.49</v>
      </c>
      <c r="N54" s="336"/>
      <c r="Q54" s="49"/>
    </row>
    <row r="55" spans="1:17" s="61" customFormat="1" ht="17.25" customHeight="1">
      <c r="A55" s="168" t="s">
        <v>200</v>
      </c>
      <c r="B55" s="169" t="s">
        <v>140</v>
      </c>
      <c r="C55" s="170" t="s">
        <v>201</v>
      </c>
      <c r="D55" s="171">
        <v>872.5</v>
      </c>
      <c r="E55" s="327">
        <v>7.96</v>
      </c>
      <c r="F55" s="328">
        <v>876.63</v>
      </c>
      <c r="G55" s="327">
        <v>358.81</v>
      </c>
      <c r="H55" s="327">
        <v>13.94</v>
      </c>
      <c r="I55" s="328">
        <f t="shared" si="0"/>
        <v>1249.3800000000001</v>
      </c>
      <c r="J55" s="327">
        <f>140.23+0.06</f>
        <v>140.29</v>
      </c>
      <c r="K55" s="329">
        <v>1389.61</v>
      </c>
      <c r="L55" s="328">
        <v>277.92</v>
      </c>
      <c r="M55" s="330">
        <v>1667.53</v>
      </c>
      <c r="N55" s="336"/>
      <c r="Q55" s="49"/>
    </row>
    <row r="56" spans="1:17" s="62" customFormat="1" ht="17.25" customHeight="1">
      <c r="A56" s="168" t="s">
        <v>202</v>
      </c>
      <c r="B56" s="169" t="s">
        <v>143</v>
      </c>
      <c r="C56" s="170" t="s">
        <v>203</v>
      </c>
      <c r="D56" s="171">
        <v>1099.3900000000001</v>
      </c>
      <c r="E56" s="327">
        <v>10.029999999999999</v>
      </c>
      <c r="F56" s="328">
        <v>1104.5999999999999</v>
      </c>
      <c r="G56" s="327">
        <v>452.15</v>
      </c>
      <c r="H56" s="327">
        <v>17.55</v>
      </c>
      <c r="I56" s="328">
        <f t="shared" si="0"/>
        <v>1574.3</v>
      </c>
      <c r="J56" s="327">
        <v>176.62</v>
      </c>
      <c r="K56" s="329">
        <v>1750.92</v>
      </c>
      <c r="L56" s="328">
        <v>350.18</v>
      </c>
      <c r="M56" s="330">
        <v>2101.1</v>
      </c>
      <c r="N56" s="337"/>
      <c r="Q56" s="49"/>
    </row>
    <row r="57" spans="1:17" s="62" customFormat="1" ht="17.25" customHeight="1">
      <c r="A57" s="168" t="s">
        <v>204</v>
      </c>
      <c r="B57" s="169" t="s">
        <v>205</v>
      </c>
      <c r="C57" s="170" t="s">
        <v>206</v>
      </c>
      <c r="D57" s="171">
        <v>1242.98</v>
      </c>
      <c r="E57" s="327">
        <v>11.34</v>
      </c>
      <c r="F57" s="328">
        <v>1248.8699999999999</v>
      </c>
      <c r="G57" s="327">
        <v>511.19</v>
      </c>
      <c r="H57" s="327">
        <v>19.86</v>
      </c>
      <c r="I57" s="328">
        <f t="shared" si="0"/>
        <v>1779.9199999999998</v>
      </c>
      <c r="J57" s="327">
        <f>199.8+0.03</f>
        <v>199.83</v>
      </c>
      <c r="K57" s="329">
        <v>1979.72</v>
      </c>
      <c r="L57" s="328">
        <v>395.94</v>
      </c>
      <c r="M57" s="330">
        <v>2375.66</v>
      </c>
      <c r="N57" s="337"/>
      <c r="Q57" s="49"/>
    </row>
    <row r="58" spans="1:17" ht="17.25" customHeight="1">
      <c r="A58" s="168" t="s">
        <v>207</v>
      </c>
      <c r="B58" s="169" t="s">
        <v>208</v>
      </c>
      <c r="C58" s="170" t="s">
        <v>209</v>
      </c>
      <c r="D58" s="171">
        <v>1405.2</v>
      </c>
      <c r="E58" s="327">
        <v>12.82</v>
      </c>
      <c r="F58" s="328">
        <v>1411.87</v>
      </c>
      <c r="G58" s="327">
        <v>577.91</v>
      </c>
      <c r="H58" s="327">
        <v>22.45</v>
      </c>
      <c r="I58" s="328">
        <f t="shared" si="0"/>
        <v>2012.2299999999998</v>
      </c>
      <c r="J58" s="327">
        <f>225.88+0.06</f>
        <v>225.94</v>
      </c>
      <c r="K58" s="329">
        <v>2238.11</v>
      </c>
      <c r="L58" s="328">
        <v>447.62</v>
      </c>
      <c r="M58" s="330">
        <v>2685.73</v>
      </c>
      <c r="Q58" s="49"/>
    </row>
    <row r="59" spans="1:17" ht="17.25" customHeight="1">
      <c r="A59" s="168" t="s">
        <v>210</v>
      </c>
      <c r="B59" s="169" t="s">
        <v>211</v>
      </c>
      <c r="C59" s="170" t="s">
        <v>212</v>
      </c>
      <c r="D59" s="171">
        <v>1811.85</v>
      </c>
      <c r="E59" s="327">
        <v>16.53</v>
      </c>
      <c r="F59" s="328">
        <v>1820.45</v>
      </c>
      <c r="G59" s="327">
        <v>745.16</v>
      </c>
      <c r="H59" s="327">
        <v>28.93</v>
      </c>
      <c r="I59" s="328">
        <f t="shared" si="0"/>
        <v>2594.54</v>
      </c>
      <c r="J59" s="327">
        <f>291.09+0.04</f>
        <v>291.13</v>
      </c>
      <c r="K59" s="329">
        <v>2885.63</v>
      </c>
      <c r="L59" s="328">
        <v>577.13</v>
      </c>
      <c r="M59" s="330">
        <v>3462.76</v>
      </c>
      <c r="Q59" s="49"/>
    </row>
    <row r="60" spans="1:17" ht="17.25" customHeight="1">
      <c r="A60" s="168" t="s">
        <v>213</v>
      </c>
      <c r="B60" s="169" t="s">
        <v>214</v>
      </c>
      <c r="C60" s="170" t="s">
        <v>215</v>
      </c>
      <c r="D60" s="171">
        <v>1914.89</v>
      </c>
      <c r="E60" s="327">
        <v>17.47</v>
      </c>
      <c r="F60" s="328">
        <v>1923.97</v>
      </c>
      <c r="G60" s="327">
        <v>787.52</v>
      </c>
      <c r="H60" s="327">
        <v>30.58</v>
      </c>
      <c r="I60" s="328">
        <f t="shared" si="0"/>
        <v>2742.0699999999997</v>
      </c>
      <c r="J60" s="327">
        <f>307.67+0.01</f>
        <v>307.68</v>
      </c>
      <c r="K60" s="329">
        <v>3049.74</v>
      </c>
      <c r="L60" s="328">
        <v>609.95000000000005</v>
      </c>
      <c r="M60" s="330">
        <v>3659.69</v>
      </c>
      <c r="Q60" s="49"/>
    </row>
    <row r="61" spans="1:17" ht="17.25" customHeight="1">
      <c r="A61" s="168" t="s">
        <v>216</v>
      </c>
      <c r="B61" s="169" t="s">
        <v>217</v>
      </c>
      <c r="C61" s="170" t="s">
        <v>218</v>
      </c>
      <c r="D61" s="171">
        <v>2044.23</v>
      </c>
      <c r="E61" s="327">
        <v>18.649999999999999</v>
      </c>
      <c r="F61" s="328">
        <v>2053.92</v>
      </c>
      <c r="G61" s="327">
        <v>840.72</v>
      </c>
      <c r="H61" s="327">
        <v>32.64</v>
      </c>
      <c r="I61" s="328">
        <f t="shared" si="0"/>
        <v>2927.28</v>
      </c>
      <c r="J61" s="327">
        <f>328.44+0.03</f>
        <v>328.46999999999997</v>
      </c>
      <c r="K61" s="329">
        <v>3255.72</v>
      </c>
      <c r="L61" s="328">
        <v>651.14</v>
      </c>
      <c r="M61" s="330">
        <v>3906.86</v>
      </c>
      <c r="Q61" s="49"/>
    </row>
    <row r="62" spans="1:17" ht="19.5" customHeight="1">
      <c r="A62" s="168" t="s">
        <v>219</v>
      </c>
      <c r="B62" s="169" t="s">
        <v>306</v>
      </c>
      <c r="C62" s="170"/>
      <c r="D62" s="172"/>
      <c r="E62" s="327"/>
      <c r="F62" s="327"/>
      <c r="G62" s="327"/>
      <c r="H62" s="327"/>
      <c r="I62" s="328"/>
      <c r="J62" s="327"/>
      <c r="K62" s="329"/>
      <c r="L62" s="328"/>
      <c r="M62" s="330"/>
      <c r="Q62" s="49"/>
    </row>
    <row r="63" spans="1:17" ht="17.25" customHeight="1">
      <c r="A63" s="168" t="s">
        <v>43</v>
      </c>
      <c r="B63" s="169" t="s">
        <v>191</v>
      </c>
      <c r="C63" s="170" t="s">
        <v>221</v>
      </c>
      <c r="D63" s="171">
        <v>241.48</v>
      </c>
      <c r="E63" s="327">
        <v>2.69</v>
      </c>
      <c r="F63" s="328">
        <v>242.64</v>
      </c>
      <c r="G63" s="327">
        <v>115.62</v>
      </c>
      <c r="H63" s="327">
        <v>4.75</v>
      </c>
      <c r="I63" s="328">
        <f t="shared" si="0"/>
        <v>363.01</v>
      </c>
      <c r="J63" s="327">
        <v>47.82</v>
      </c>
      <c r="K63" s="329">
        <v>410.83</v>
      </c>
      <c r="L63" s="328">
        <v>82.17</v>
      </c>
      <c r="M63" s="330">
        <v>493</v>
      </c>
      <c r="Q63" s="49"/>
    </row>
    <row r="64" spans="1:17" ht="17.25" customHeight="1">
      <c r="A64" s="168" t="s">
        <v>45</v>
      </c>
      <c r="B64" s="169" t="s">
        <v>107</v>
      </c>
      <c r="C64" s="170" t="s">
        <v>222</v>
      </c>
      <c r="D64" s="171">
        <v>433.59</v>
      </c>
      <c r="E64" s="327">
        <v>4.83</v>
      </c>
      <c r="F64" s="328">
        <v>435.67</v>
      </c>
      <c r="G64" s="327">
        <v>207.59</v>
      </c>
      <c r="H64" s="327">
        <v>8.5399999999999991</v>
      </c>
      <c r="I64" s="328">
        <f t="shared" si="0"/>
        <v>651.79999999999995</v>
      </c>
      <c r="J64" s="327">
        <f>85.97+0.06</f>
        <v>86.03</v>
      </c>
      <c r="K64" s="329">
        <v>737.77</v>
      </c>
      <c r="L64" s="328">
        <v>147.55000000000001</v>
      </c>
      <c r="M64" s="330">
        <v>885.32</v>
      </c>
      <c r="Q64" s="49"/>
    </row>
    <row r="65" spans="1:17" ht="18.75" customHeight="1">
      <c r="A65" s="168" t="s">
        <v>223</v>
      </c>
      <c r="B65" s="169" t="s">
        <v>224</v>
      </c>
      <c r="C65" s="170" t="s">
        <v>225</v>
      </c>
      <c r="D65" s="171">
        <v>93.36</v>
      </c>
      <c r="E65" s="327">
        <v>1.04</v>
      </c>
      <c r="F65" s="328">
        <v>93.81</v>
      </c>
      <c r="G65" s="327">
        <v>44.7</v>
      </c>
      <c r="H65" s="327">
        <v>1.84</v>
      </c>
      <c r="I65" s="328">
        <f t="shared" si="0"/>
        <v>140.35</v>
      </c>
      <c r="J65" s="327">
        <f>18.52+0.05</f>
        <v>18.57</v>
      </c>
      <c r="K65" s="329">
        <v>158.87</v>
      </c>
      <c r="L65" s="328">
        <v>31.77</v>
      </c>
      <c r="M65" s="330">
        <v>190.64</v>
      </c>
      <c r="Q65" s="49"/>
    </row>
    <row r="66" spans="1:17" ht="20.25" customHeight="1" thickBot="1">
      <c r="A66" s="174" t="s">
        <v>49</v>
      </c>
      <c r="B66" s="175" t="s">
        <v>226</v>
      </c>
      <c r="C66" s="176" t="s">
        <v>227</v>
      </c>
      <c r="D66" s="177">
        <v>161.59</v>
      </c>
      <c r="E66" s="338">
        <v>1.8</v>
      </c>
      <c r="F66" s="339">
        <v>162.36000000000001</v>
      </c>
      <c r="G66" s="338">
        <v>77.36</v>
      </c>
      <c r="H66" s="338">
        <v>3.18</v>
      </c>
      <c r="I66" s="339">
        <f t="shared" si="0"/>
        <v>242.90000000000003</v>
      </c>
      <c r="J66" s="338">
        <f>32.04+0.06</f>
        <v>32.1</v>
      </c>
      <c r="K66" s="340">
        <v>275</v>
      </c>
      <c r="L66" s="339">
        <v>55</v>
      </c>
      <c r="M66" s="341">
        <v>330</v>
      </c>
      <c r="Q66" s="49"/>
    </row>
    <row r="67" spans="1:17">
      <c r="A67" s="121"/>
      <c r="B67" s="122"/>
      <c r="C67" s="123"/>
      <c r="D67" s="122"/>
      <c r="E67" s="122"/>
      <c r="F67" s="122"/>
      <c r="G67" s="122"/>
      <c r="H67" s="122"/>
      <c r="I67" s="304"/>
      <c r="J67" s="122"/>
      <c r="K67" s="304"/>
      <c r="L67" s="304"/>
      <c r="M67" s="304"/>
      <c r="Q67" s="49"/>
    </row>
    <row r="68" spans="1:17">
      <c r="A68" s="121"/>
      <c r="B68" s="122"/>
      <c r="C68" s="123"/>
      <c r="D68" s="122"/>
      <c r="E68" s="122"/>
      <c r="F68" s="122"/>
      <c r="G68" s="122"/>
      <c r="H68" s="122"/>
      <c r="I68" s="304"/>
      <c r="J68" s="122"/>
      <c r="K68" s="304"/>
      <c r="L68" s="304"/>
      <c r="M68" s="304"/>
      <c r="Q68" s="49"/>
    </row>
    <row r="69" spans="1:17" ht="17.45">
      <c r="A69" s="182"/>
      <c r="B69" s="125" t="s">
        <v>307</v>
      </c>
      <c r="C69" s="123"/>
      <c r="D69" s="122"/>
      <c r="E69" s="122"/>
      <c r="F69" s="122"/>
      <c r="G69" s="122"/>
      <c r="H69" s="122"/>
      <c r="I69" s="304"/>
      <c r="J69" s="183" t="s">
        <v>308</v>
      </c>
      <c r="K69" s="342"/>
      <c r="L69" s="343"/>
      <c r="M69" s="344"/>
      <c r="Q69" s="49"/>
    </row>
    <row r="70" spans="1:17" ht="15.6">
      <c r="A70" s="182"/>
      <c r="B70" s="122"/>
      <c r="C70" s="123"/>
      <c r="D70" s="122"/>
      <c r="E70" s="122"/>
      <c r="F70" s="122"/>
      <c r="G70" s="122"/>
      <c r="H70" s="122"/>
      <c r="I70" s="304"/>
      <c r="J70" s="122"/>
      <c r="K70" s="342"/>
      <c r="L70" s="343"/>
      <c r="M70" s="344"/>
      <c r="Q70" s="49"/>
    </row>
    <row r="71" spans="1:17" ht="17.45">
      <c r="A71" s="187"/>
      <c r="B71" s="125" t="s">
        <v>309</v>
      </c>
      <c r="C71" s="142"/>
      <c r="D71" s="142"/>
      <c r="E71" s="142"/>
      <c r="F71" s="142"/>
      <c r="G71" s="142"/>
      <c r="H71" s="142"/>
      <c r="I71" s="345"/>
      <c r="J71" s="183" t="str">
        <f>'[3]МР1 ТУ'!K21</f>
        <v>Л. С. Голуб</v>
      </c>
      <c r="K71" s="346"/>
      <c r="L71" s="346"/>
      <c r="M71" s="346"/>
      <c r="Q71" s="49"/>
    </row>
    <row r="72" spans="1:17" ht="17.45">
      <c r="A72" s="121"/>
      <c r="B72" s="125"/>
      <c r="C72" s="142"/>
      <c r="D72" s="142"/>
      <c r="E72" s="142"/>
      <c r="F72" s="142"/>
      <c r="G72" s="142"/>
      <c r="H72" s="142"/>
      <c r="I72" s="345"/>
      <c r="J72" s="189"/>
      <c r="K72" s="346"/>
      <c r="L72" s="346"/>
      <c r="M72" s="346"/>
      <c r="Q72" s="49"/>
    </row>
    <row r="73" spans="1:17">
      <c r="A73" s="121"/>
      <c r="B73" s="190"/>
      <c r="C73" s="191"/>
      <c r="D73" s="192"/>
      <c r="E73" s="192"/>
      <c r="F73" s="193"/>
      <c r="G73" s="188"/>
      <c r="H73" s="188"/>
      <c r="I73" s="346"/>
      <c r="J73" s="188"/>
      <c r="K73" s="347"/>
      <c r="L73" s="347"/>
      <c r="M73" s="347"/>
      <c r="Q73" s="49"/>
    </row>
    <row r="74" spans="1:17">
      <c r="B74" s="195" t="s">
        <v>310</v>
      </c>
      <c r="C74" s="191"/>
      <c r="D74" s="196"/>
      <c r="E74" s="196"/>
      <c r="F74" s="193"/>
      <c r="G74" s="188"/>
      <c r="H74" s="188"/>
      <c r="I74" s="346"/>
      <c r="J74" s="188"/>
      <c r="K74" s="348"/>
      <c r="L74" s="348"/>
      <c r="M74" s="348"/>
      <c r="Q74" s="49"/>
    </row>
    <row r="75" spans="1:17">
      <c r="B75" s="195" t="s">
        <v>311</v>
      </c>
      <c r="C75" s="197"/>
      <c r="D75" s="198"/>
      <c r="E75" s="198"/>
      <c r="F75" s="199"/>
      <c r="G75" s="194"/>
      <c r="H75" s="194"/>
      <c r="I75" s="347"/>
      <c r="J75" s="194"/>
      <c r="K75" s="349"/>
      <c r="L75" s="349"/>
      <c r="M75" s="349"/>
    </row>
    <row r="76" spans="1:17">
      <c r="B76" s="85"/>
      <c r="C76" s="86"/>
      <c r="D76" s="85"/>
      <c r="E76" s="85"/>
      <c r="F76" s="87"/>
      <c r="G76" s="48"/>
      <c r="H76" s="48"/>
      <c r="I76" s="349"/>
      <c r="J76" s="48"/>
      <c r="K76" s="349"/>
      <c r="L76" s="349"/>
      <c r="M76" s="349"/>
    </row>
  </sheetData>
  <autoFilter ref="A12:Q12" xr:uid="{00000000-0009-0000-0000-000009000000}"/>
  <mergeCells count="5">
    <mergeCell ref="A5:B5"/>
    <mergeCell ref="L5:M5"/>
    <mergeCell ref="A7:M7"/>
    <mergeCell ref="A8:M8"/>
    <mergeCell ref="A10:B10"/>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6"/>
  <sheetViews>
    <sheetView topLeftCell="A31" workbookViewId="0">
      <selection activeCell="V52" sqref="V52"/>
    </sheetView>
  </sheetViews>
  <sheetFormatPr defaultRowHeight="13.15"/>
  <cols>
    <col min="1" max="1" width="6.28515625" style="73" customWidth="1"/>
    <col min="2" max="2" width="53" customWidth="1"/>
    <col min="3" max="3" width="12.7109375" style="88" hidden="1" customWidth="1"/>
    <col min="4" max="4" width="11.5703125" hidden="1" customWidth="1"/>
    <col min="5" max="5" width="14.28515625" hidden="1" customWidth="1"/>
    <col min="6" max="6" width="14.5703125" hidden="1" customWidth="1"/>
    <col min="7" max="7" width="15" hidden="1" customWidth="1"/>
    <col min="8" max="8" width="20" hidden="1" customWidth="1"/>
    <col min="9" max="9" width="16.140625" hidden="1" customWidth="1"/>
    <col min="10" max="10" width="19.7109375" hidden="1" customWidth="1"/>
    <col min="11" max="11" width="22.5703125" customWidth="1"/>
    <col min="12" max="12" width="10.85546875" customWidth="1"/>
    <col min="13" max="13" width="22" customWidth="1"/>
    <col min="14" max="14" width="15.5703125" customWidth="1"/>
    <col min="15" max="15" width="13.42578125" customWidth="1"/>
  </cols>
  <sheetData>
    <row r="1" spans="1:19" ht="15">
      <c r="A1" s="121"/>
      <c r="B1" s="122"/>
      <c r="C1" s="123"/>
      <c r="D1" s="122"/>
      <c r="E1" s="122"/>
      <c r="F1" s="122"/>
      <c r="G1" s="122"/>
      <c r="H1" s="122"/>
      <c r="I1" s="122"/>
      <c r="J1" s="124" t="str">
        <f>'[4]МР1 Видача ТУ'!K1</f>
        <v>Додаток № ___ до наказу №_______________________від __________2019р.</v>
      </c>
      <c r="K1" s="122"/>
      <c r="L1" s="122"/>
      <c r="M1" s="122"/>
    </row>
    <row r="2" spans="1:19" ht="15">
      <c r="A2" s="121"/>
      <c r="B2" s="122"/>
      <c r="C2" s="123"/>
      <c r="D2" s="122"/>
      <c r="E2" s="122"/>
      <c r="F2" s="122"/>
      <c r="G2" s="122"/>
      <c r="H2" s="122"/>
      <c r="I2" s="122"/>
      <c r="J2" s="122"/>
      <c r="K2" s="122"/>
      <c r="L2" s="122"/>
      <c r="M2" s="122"/>
    </row>
    <row r="3" spans="1:19" ht="19.5" customHeight="1">
      <c r="A3" s="125" t="str">
        <f>'[4]МР1 Видача ТУ'!A3:B3</f>
        <v>ПОГОДЖЕНО</v>
      </c>
      <c r="B3" s="125"/>
      <c r="C3" s="126"/>
      <c r="D3" s="127"/>
      <c r="E3" s="127"/>
      <c r="F3" s="128"/>
      <c r="G3" s="129"/>
      <c r="H3" s="129"/>
      <c r="I3" s="129"/>
      <c r="J3" s="125" t="s">
        <v>296</v>
      </c>
      <c r="K3" s="130"/>
      <c r="L3" s="130"/>
      <c r="M3" s="130"/>
    </row>
    <row r="4" spans="1:19" s="11" customFormat="1" ht="21" customHeight="1">
      <c r="A4" s="125" t="str">
        <f>'[4]МР1 Видача ТУ'!A4:B4</f>
        <v>Директор фінансовий</v>
      </c>
      <c r="B4" s="125"/>
      <c r="C4" s="130"/>
      <c r="D4" s="132"/>
      <c r="E4" s="132"/>
      <c r="F4" s="133"/>
      <c r="G4" s="134"/>
      <c r="H4" s="134"/>
      <c r="I4" s="135"/>
      <c r="J4" s="125" t="s">
        <v>312</v>
      </c>
      <c r="K4" s="130"/>
      <c r="L4" s="130"/>
      <c r="M4" s="130"/>
    </row>
    <row r="5" spans="1:19" s="11" customFormat="1" ht="18" customHeight="1">
      <c r="A5" s="130"/>
      <c r="B5" s="130" t="s">
        <v>313</v>
      </c>
      <c r="C5" s="137"/>
      <c r="D5" s="132"/>
      <c r="E5" s="132"/>
      <c r="F5" s="133"/>
      <c r="G5" s="134"/>
      <c r="H5" s="134"/>
      <c r="I5" s="126"/>
      <c r="J5" s="130"/>
      <c r="K5" s="130"/>
      <c r="L5" s="687" t="s">
        <v>298</v>
      </c>
      <c r="M5" s="687"/>
    </row>
    <row r="6" spans="1:19" s="11" customFormat="1" ht="27" customHeight="1">
      <c r="A6" s="138"/>
      <c r="B6" s="138"/>
      <c r="C6" s="139"/>
      <c r="D6" s="140"/>
      <c r="E6" s="140"/>
      <c r="F6" s="122"/>
      <c r="G6" s="141"/>
      <c r="H6" s="141"/>
      <c r="I6" s="139"/>
      <c r="J6" s="139"/>
      <c r="K6" s="139"/>
      <c r="L6" s="139"/>
      <c r="M6" s="139"/>
    </row>
    <row r="7" spans="1:19" s="11" customFormat="1" ht="19.5" customHeight="1">
      <c r="A7" s="675" t="s">
        <v>79</v>
      </c>
      <c r="B7" s="675"/>
      <c r="C7" s="675"/>
      <c r="D7" s="675"/>
      <c r="E7" s="675"/>
      <c r="F7" s="675"/>
      <c r="G7" s="675"/>
      <c r="H7" s="675"/>
      <c r="I7" s="675"/>
      <c r="J7" s="675"/>
      <c r="K7" s="675"/>
      <c r="L7" s="675"/>
      <c r="M7" s="675"/>
    </row>
    <row r="8" spans="1:19" s="11" customFormat="1" ht="67.5" customHeight="1">
      <c r="A8" s="673" t="s">
        <v>299</v>
      </c>
      <c r="B8" s="673"/>
      <c r="C8" s="673"/>
      <c r="D8" s="673"/>
      <c r="E8" s="673"/>
      <c r="F8" s="673"/>
      <c r="G8" s="673"/>
      <c r="H8" s="673"/>
      <c r="I8" s="673"/>
      <c r="J8" s="673"/>
      <c r="K8" s="673"/>
      <c r="L8" s="673"/>
      <c r="M8" s="673"/>
    </row>
    <row r="9" spans="1:19" s="11" customFormat="1" ht="17.25" customHeight="1">
      <c r="A9" s="131"/>
      <c r="B9" s="131"/>
      <c r="C9" s="131"/>
      <c r="D9" s="131"/>
      <c r="E9" s="131"/>
      <c r="F9" s="131"/>
      <c r="G9" s="131"/>
      <c r="H9" s="131"/>
      <c r="I9" s="131"/>
      <c r="J9" s="131"/>
      <c r="K9" s="131"/>
      <c r="L9" s="131"/>
      <c r="M9" s="131"/>
    </row>
    <row r="10" spans="1:19" s="11" customFormat="1" ht="15.75" customHeight="1" thickBot="1">
      <c r="A10" s="688" t="s">
        <v>314</v>
      </c>
      <c r="B10" s="688"/>
      <c r="C10" s="136"/>
      <c r="D10" s="143"/>
      <c r="E10" s="143"/>
      <c r="F10" s="141"/>
      <c r="G10" s="141"/>
      <c r="H10" s="141"/>
      <c r="I10" s="141"/>
      <c r="J10" s="141"/>
      <c r="K10" s="144"/>
      <c r="M10" s="145" t="s">
        <v>81</v>
      </c>
    </row>
    <row r="11" spans="1:19" ht="59.25" customHeight="1" thickBot="1">
      <c r="A11" s="146" t="s">
        <v>82</v>
      </c>
      <c r="B11" s="147" t="s">
        <v>83</v>
      </c>
      <c r="C11" s="148" t="s">
        <v>84</v>
      </c>
      <c r="D11" s="149" t="s">
        <v>300</v>
      </c>
      <c r="E11" s="150" t="s">
        <v>85</v>
      </c>
      <c r="F11" s="149" t="s">
        <v>235</v>
      </c>
      <c r="G11" s="149" t="s">
        <v>87</v>
      </c>
      <c r="H11" s="149" t="s">
        <v>88</v>
      </c>
      <c r="I11" s="149" t="s">
        <v>89</v>
      </c>
      <c r="J11" s="149" t="s">
        <v>90</v>
      </c>
      <c r="K11" s="151" t="s">
        <v>91</v>
      </c>
      <c r="L11" s="151" t="s">
        <v>92</v>
      </c>
      <c r="M11" s="152" t="s">
        <v>93</v>
      </c>
    </row>
    <row r="12" spans="1:19" ht="19.5" customHeight="1">
      <c r="A12" s="153" t="s">
        <v>94</v>
      </c>
      <c r="B12" s="154" t="s">
        <v>301</v>
      </c>
      <c r="C12" s="155"/>
      <c r="D12" s="156"/>
      <c r="E12" s="156"/>
      <c r="F12" s="156"/>
      <c r="G12" s="156"/>
      <c r="H12" s="156"/>
      <c r="I12" s="156"/>
      <c r="J12" s="156"/>
      <c r="K12" s="157"/>
      <c r="L12" s="157"/>
      <c r="M12" s="158"/>
    </row>
    <row r="13" spans="1:19" ht="15.75" customHeight="1">
      <c r="A13" s="159" t="s">
        <v>97</v>
      </c>
      <c r="B13" s="206" t="s">
        <v>98</v>
      </c>
      <c r="C13" s="207" t="s">
        <v>99</v>
      </c>
      <c r="D13" s="208">
        <v>1175.9000000000001</v>
      </c>
      <c r="E13" s="209">
        <v>10.73</v>
      </c>
      <c r="F13" s="209">
        <v>1175.9000000000001</v>
      </c>
      <c r="G13" s="209">
        <v>258.7</v>
      </c>
      <c r="H13" s="209">
        <v>13.2</v>
      </c>
      <c r="I13" s="209">
        <f>F13+G13+H13</f>
        <v>1447.8000000000002</v>
      </c>
      <c r="J13" s="209">
        <v>29.08</v>
      </c>
      <c r="K13" s="210">
        <v>1476.92</v>
      </c>
      <c r="L13" s="209">
        <v>295.38400000000001</v>
      </c>
      <c r="M13" s="211">
        <v>1772.3</v>
      </c>
      <c r="N13" s="212">
        <f>1476.92+$K$66</f>
        <v>1723.42</v>
      </c>
      <c r="O13" s="212">
        <f>1772.3+M66</f>
        <v>2068.1</v>
      </c>
      <c r="P13" s="49">
        <f>K13+$K$66</f>
        <v>1723.42</v>
      </c>
      <c r="Q13" s="49">
        <f>M13+$M$66</f>
        <v>2068.1</v>
      </c>
      <c r="R13" s="49">
        <f>N13-P13</f>
        <v>0</v>
      </c>
      <c r="S13" s="49">
        <f>O13-Q13</f>
        <v>0</v>
      </c>
    </row>
    <row r="14" spans="1:19" ht="15.75" customHeight="1">
      <c r="A14" s="159" t="s">
        <v>100</v>
      </c>
      <c r="B14" s="206" t="s">
        <v>101</v>
      </c>
      <c r="C14" s="207" t="s">
        <v>102</v>
      </c>
      <c r="D14" s="208">
        <v>1276.96</v>
      </c>
      <c r="E14" s="209">
        <v>11.65</v>
      </c>
      <c r="F14" s="209">
        <v>1276.96</v>
      </c>
      <c r="G14" s="209">
        <v>552.4</v>
      </c>
      <c r="H14" s="209">
        <v>15.83</v>
      </c>
      <c r="I14" s="209">
        <f>F14+G14+H14</f>
        <v>1845.19</v>
      </c>
      <c r="J14" s="209">
        <v>34.880000000000003</v>
      </c>
      <c r="K14" s="210">
        <v>1880.0800000000002</v>
      </c>
      <c r="L14" s="209">
        <v>376.01600000000008</v>
      </c>
      <c r="M14" s="211">
        <v>2256.1</v>
      </c>
      <c r="N14" s="212">
        <f>1880.08+K66</f>
        <v>2126.58</v>
      </c>
      <c r="O14" s="212">
        <f>2256.1+M66</f>
        <v>2551.9</v>
      </c>
      <c r="P14" s="49">
        <f>K14+$K$66</f>
        <v>2126.58</v>
      </c>
      <c r="Q14" s="49">
        <f>M14+$M$66</f>
        <v>2551.9</v>
      </c>
      <c r="R14" s="49">
        <f>N14-P14</f>
        <v>0</v>
      </c>
      <c r="S14" s="49">
        <f t="shared" ref="S14:S61" si="0">O14-Q14</f>
        <v>0</v>
      </c>
    </row>
    <row r="15" spans="1:19" ht="15.75" customHeight="1">
      <c r="A15" s="159" t="s">
        <v>103</v>
      </c>
      <c r="B15" s="213" t="s">
        <v>104</v>
      </c>
      <c r="C15" s="214" t="s">
        <v>105</v>
      </c>
      <c r="D15" s="215">
        <v>1616.75</v>
      </c>
      <c r="E15" s="216">
        <v>14.75</v>
      </c>
      <c r="F15" s="216">
        <v>1616.75</v>
      </c>
      <c r="G15" s="216">
        <v>699.39</v>
      </c>
      <c r="H15" s="216">
        <v>20.05</v>
      </c>
      <c r="I15" s="216">
        <f>F15+G15+H15</f>
        <v>2336.19</v>
      </c>
      <c r="J15" s="216">
        <v>44.17</v>
      </c>
      <c r="K15" s="217">
        <v>2380.42</v>
      </c>
      <c r="L15" s="216">
        <v>476.08400000000006</v>
      </c>
      <c r="M15" s="218">
        <v>2856.5</v>
      </c>
      <c r="N15" s="219">
        <f>2380.42+K66</f>
        <v>2626.92</v>
      </c>
      <c r="O15" s="219">
        <f>2856.5+M66</f>
        <v>3152.3</v>
      </c>
      <c r="P15" s="49">
        <f>K15+$K$66</f>
        <v>2626.92</v>
      </c>
      <c r="Q15" s="49">
        <f>M15+$M$66</f>
        <v>3152.3</v>
      </c>
      <c r="R15" s="49">
        <f>N15-P15</f>
        <v>0</v>
      </c>
      <c r="S15" s="49">
        <f t="shared" si="0"/>
        <v>0</v>
      </c>
    </row>
    <row r="16" spans="1:19" ht="15.75" customHeight="1">
      <c r="A16" s="159" t="s">
        <v>106</v>
      </c>
      <c r="B16" s="227" t="s">
        <v>107</v>
      </c>
      <c r="C16" s="228" t="s">
        <v>108</v>
      </c>
      <c r="D16" s="229">
        <v>1914.89</v>
      </c>
      <c r="E16" s="230">
        <v>17.47</v>
      </c>
      <c r="F16" s="230">
        <v>1914.89</v>
      </c>
      <c r="G16" s="230">
        <v>828.36</v>
      </c>
      <c r="H16" s="230">
        <v>23.74</v>
      </c>
      <c r="I16" s="230">
        <f>F16+G16+H16</f>
        <v>2766.99</v>
      </c>
      <c r="J16" s="230">
        <v>52.3</v>
      </c>
      <c r="K16" s="231">
        <v>2819.33</v>
      </c>
      <c r="L16" s="230">
        <v>563.86599999999999</v>
      </c>
      <c r="M16" s="232">
        <v>3383.2</v>
      </c>
      <c r="N16" s="233">
        <f>2819.33+K66</f>
        <v>3065.83</v>
      </c>
      <c r="O16" s="233">
        <f>3383.2+M66</f>
        <v>3679</v>
      </c>
      <c r="P16" s="49">
        <f>K16+$K$66</f>
        <v>3065.83</v>
      </c>
      <c r="Q16" s="49">
        <f>M16+$M$66</f>
        <v>3679</v>
      </c>
      <c r="R16" s="49">
        <f>N16-P16</f>
        <v>0</v>
      </c>
      <c r="S16" s="49">
        <f t="shared" si="0"/>
        <v>0</v>
      </c>
    </row>
    <row r="17" spans="1:19" ht="31.5" customHeight="1">
      <c r="A17" s="159" t="s">
        <v>109</v>
      </c>
      <c r="B17" s="160" t="s">
        <v>302</v>
      </c>
      <c r="C17" s="161"/>
      <c r="D17" s="167"/>
      <c r="E17" s="163"/>
      <c r="F17" s="163"/>
      <c r="G17" s="163"/>
      <c r="H17" s="163"/>
      <c r="I17" s="163"/>
      <c r="J17" s="163"/>
      <c r="K17" s="164"/>
      <c r="L17" s="163"/>
      <c r="M17" s="165"/>
      <c r="P17" s="49"/>
      <c r="Q17" s="49"/>
      <c r="R17" s="49"/>
      <c r="S17" s="49"/>
    </row>
    <row r="18" spans="1:19" ht="15.75" customHeight="1">
      <c r="A18" s="168" t="s">
        <v>10</v>
      </c>
      <c r="B18" s="206" t="s">
        <v>111</v>
      </c>
      <c r="C18" s="207" t="s">
        <v>112</v>
      </c>
      <c r="D18" s="208">
        <v>453.79</v>
      </c>
      <c r="E18" s="209">
        <v>4.1399999999999997</v>
      </c>
      <c r="F18" s="209">
        <v>453.79</v>
      </c>
      <c r="G18" s="209">
        <v>196.31</v>
      </c>
      <c r="H18" s="209">
        <v>5.62</v>
      </c>
      <c r="I18" s="209">
        <f t="shared" ref="I18:I24" si="1">F18+G18+H18</f>
        <v>655.72</v>
      </c>
      <c r="J18" s="209">
        <v>12.38</v>
      </c>
      <c r="K18" s="210">
        <v>668.17000000000007</v>
      </c>
      <c r="L18" s="209">
        <v>133.63400000000001</v>
      </c>
      <c r="M18" s="211">
        <v>801.8</v>
      </c>
      <c r="N18" s="212">
        <f>668.17+K66</f>
        <v>914.67</v>
      </c>
      <c r="O18" s="212">
        <f>801.8+M66</f>
        <v>1097.5999999999999</v>
      </c>
      <c r="P18" s="49">
        <f t="shared" ref="P18:P24" si="2">K18+$K$66</f>
        <v>914.67000000000007</v>
      </c>
      <c r="Q18" s="49">
        <f t="shared" ref="Q18:Q24" si="3">M18+$M$66</f>
        <v>1097.5999999999999</v>
      </c>
      <c r="R18" s="49">
        <f t="shared" ref="R18:R24" si="4">N18-P18</f>
        <v>0</v>
      </c>
      <c r="S18" s="49">
        <f t="shared" si="0"/>
        <v>0</v>
      </c>
    </row>
    <row r="19" spans="1:19" ht="15.75" customHeight="1">
      <c r="A19" s="168" t="s">
        <v>12</v>
      </c>
      <c r="B19" s="206" t="s">
        <v>98</v>
      </c>
      <c r="C19" s="207" t="s">
        <v>114</v>
      </c>
      <c r="D19" s="208">
        <v>582.03</v>
      </c>
      <c r="E19" s="209">
        <v>5.31</v>
      </c>
      <c r="F19" s="209">
        <v>582.03</v>
      </c>
      <c r="G19" s="209">
        <v>251.77</v>
      </c>
      <c r="H19" s="209">
        <v>7.22</v>
      </c>
      <c r="I19" s="209">
        <f t="shared" si="1"/>
        <v>841.02</v>
      </c>
      <c r="J19" s="209">
        <v>15.91</v>
      </c>
      <c r="K19" s="210">
        <v>857</v>
      </c>
      <c r="L19" s="209">
        <v>171.4</v>
      </c>
      <c r="M19" s="211">
        <v>1028.4000000000001</v>
      </c>
      <c r="N19" s="212">
        <f>857+K66</f>
        <v>1103.5</v>
      </c>
      <c r="O19" s="212">
        <f>1028.4+M66</f>
        <v>1324.2</v>
      </c>
      <c r="P19" s="49">
        <f t="shared" si="2"/>
        <v>1103.5</v>
      </c>
      <c r="Q19" s="49">
        <f t="shared" si="3"/>
        <v>1324.2</v>
      </c>
      <c r="R19" s="49">
        <f t="shared" si="4"/>
        <v>0</v>
      </c>
      <c r="S19" s="49">
        <f t="shared" si="0"/>
        <v>0</v>
      </c>
    </row>
    <row r="20" spans="1:19" ht="15.75" customHeight="1">
      <c r="A20" s="168" t="s">
        <v>14</v>
      </c>
      <c r="B20" s="206" t="s">
        <v>115</v>
      </c>
      <c r="C20" s="207" t="s">
        <v>116</v>
      </c>
      <c r="D20" s="208">
        <v>694.93</v>
      </c>
      <c r="E20" s="209">
        <v>6.34</v>
      </c>
      <c r="F20" s="209">
        <v>694.93</v>
      </c>
      <c r="G20" s="209">
        <v>300.62</v>
      </c>
      <c r="H20" s="209">
        <v>8.6199999999999992</v>
      </c>
      <c r="I20" s="209">
        <f t="shared" si="1"/>
        <v>1004.17</v>
      </c>
      <c r="J20" s="209">
        <v>19</v>
      </c>
      <c r="K20" s="210">
        <v>1023.17</v>
      </c>
      <c r="L20" s="209">
        <v>204.63400000000001</v>
      </c>
      <c r="M20" s="211">
        <v>1227.8</v>
      </c>
      <c r="N20" s="212">
        <f>1023.17+K66</f>
        <v>1269.67</v>
      </c>
      <c r="O20" s="212">
        <f>1227.8+M66</f>
        <v>1523.6</v>
      </c>
      <c r="P20" s="49">
        <f t="shared" si="2"/>
        <v>1269.67</v>
      </c>
      <c r="Q20" s="49">
        <f t="shared" si="3"/>
        <v>1523.6</v>
      </c>
      <c r="R20" s="49">
        <f t="shared" si="4"/>
        <v>0</v>
      </c>
      <c r="S20" s="49">
        <f t="shared" si="0"/>
        <v>0</v>
      </c>
    </row>
    <row r="21" spans="1:19" ht="15.75" customHeight="1">
      <c r="A21" s="168" t="s">
        <v>16</v>
      </c>
      <c r="B21" s="206" t="s">
        <v>117</v>
      </c>
      <c r="C21" s="207" t="s">
        <v>118</v>
      </c>
      <c r="D21" s="208">
        <v>881.26</v>
      </c>
      <c r="E21" s="209">
        <v>8.0399999999999991</v>
      </c>
      <c r="F21" s="209">
        <v>881.26</v>
      </c>
      <c r="G21" s="209">
        <v>381.23</v>
      </c>
      <c r="H21" s="209">
        <v>10.92</v>
      </c>
      <c r="I21" s="209">
        <f t="shared" si="1"/>
        <v>1273.4100000000001</v>
      </c>
      <c r="J21" s="209">
        <v>24.06</v>
      </c>
      <c r="K21" s="210">
        <v>1297.5</v>
      </c>
      <c r="L21" s="209">
        <v>259.5</v>
      </c>
      <c r="M21" s="211">
        <v>1557</v>
      </c>
      <c r="N21" s="212">
        <f>1297.5+K66</f>
        <v>1544</v>
      </c>
      <c r="O21" s="212">
        <f>1557+M66</f>
        <v>1852.8</v>
      </c>
      <c r="P21" s="49">
        <f t="shared" si="2"/>
        <v>1544</v>
      </c>
      <c r="Q21" s="49">
        <f t="shared" si="3"/>
        <v>1852.8</v>
      </c>
      <c r="R21" s="49">
        <f t="shared" si="4"/>
        <v>0</v>
      </c>
      <c r="S21" s="49">
        <f t="shared" si="0"/>
        <v>0</v>
      </c>
    </row>
    <row r="22" spans="1:19" ht="15.75" customHeight="1">
      <c r="A22" s="168" t="s">
        <v>18</v>
      </c>
      <c r="B22" s="213" t="s">
        <v>119</v>
      </c>
      <c r="C22" s="214" t="s">
        <v>120</v>
      </c>
      <c r="D22" s="215">
        <v>951.41</v>
      </c>
      <c r="E22" s="216">
        <v>8.68</v>
      </c>
      <c r="F22" s="216">
        <v>951.41</v>
      </c>
      <c r="G22" s="216">
        <v>411.56</v>
      </c>
      <c r="H22" s="216">
        <v>11.8</v>
      </c>
      <c r="I22" s="216">
        <f t="shared" si="1"/>
        <v>1374.77</v>
      </c>
      <c r="J22" s="216">
        <v>25.99</v>
      </c>
      <c r="K22" s="217">
        <v>1400.83</v>
      </c>
      <c r="L22" s="216">
        <v>280.166</v>
      </c>
      <c r="M22" s="218">
        <v>1681</v>
      </c>
      <c r="N22" s="219">
        <f>1400.83+K66</f>
        <v>1647.33</v>
      </c>
      <c r="O22" s="219">
        <f>1681+M66</f>
        <v>1976.8</v>
      </c>
      <c r="P22" s="49">
        <f t="shared" si="2"/>
        <v>1647.33</v>
      </c>
      <c r="Q22" s="49">
        <f t="shared" si="3"/>
        <v>1976.8</v>
      </c>
      <c r="R22" s="49">
        <f t="shared" si="4"/>
        <v>0</v>
      </c>
      <c r="S22" s="49">
        <f t="shared" si="0"/>
        <v>0</v>
      </c>
    </row>
    <row r="23" spans="1:19" ht="15.75" customHeight="1">
      <c r="A23" s="168" t="s">
        <v>121</v>
      </c>
      <c r="B23" s="213" t="s">
        <v>104</v>
      </c>
      <c r="C23" s="214" t="s">
        <v>123</v>
      </c>
      <c r="D23" s="215">
        <v>1077.47</v>
      </c>
      <c r="E23" s="216">
        <v>9.83</v>
      </c>
      <c r="F23" s="216">
        <v>1077.47</v>
      </c>
      <c r="G23" s="216">
        <v>466.09</v>
      </c>
      <c r="H23" s="216">
        <v>13.36</v>
      </c>
      <c r="I23" s="216">
        <f t="shared" si="1"/>
        <v>1556.9199999999998</v>
      </c>
      <c r="J23" s="216">
        <v>29.43</v>
      </c>
      <c r="K23" s="217">
        <v>1586.4199999999998</v>
      </c>
      <c r="L23" s="216">
        <v>317.28399999999999</v>
      </c>
      <c r="M23" s="218">
        <v>1903.7</v>
      </c>
      <c r="N23" s="219">
        <f>1586.42+K66</f>
        <v>1832.92</v>
      </c>
      <c r="O23" s="219">
        <f>1903.7+M66</f>
        <v>2199.5</v>
      </c>
      <c r="P23" s="49">
        <f t="shared" si="2"/>
        <v>1832.9199999999998</v>
      </c>
      <c r="Q23" s="49">
        <f t="shared" si="3"/>
        <v>2199.5</v>
      </c>
      <c r="R23" s="49">
        <f t="shared" si="4"/>
        <v>0</v>
      </c>
      <c r="S23" s="49">
        <f t="shared" si="0"/>
        <v>0</v>
      </c>
    </row>
    <row r="24" spans="1:19" ht="15.75" customHeight="1">
      <c r="A24" s="168" t="s">
        <v>124</v>
      </c>
      <c r="B24" s="227" t="s">
        <v>125</v>
      </c>
      <c r="C24" s="228" t="s">
        <v>126</v>
      </c>
      <c r="D24" s="229">
        <v>1233.1099999999999</v>
      </c>
      <c r="E24" s="230">
        <v>11.25</v>
      </c>
      <c r="F24" s="230">
        <v>1233.1099999999999</v>
      </c>
      <c r="G24" s="230">
        <v>533.41999999999996</v>
      </c>
      <c r="H24" s="230">
        <v>15.29</v>
      </c>
      <c r="I24" s="230">
        <f t="shared" si="1"/>
        <v>1781.8199999999997</v>
      </c>
      <c r="J24" s="230">
        <v>33.69</v>
      </c>
      <c r="K24" s="231">
        <v>1815.5799999999997</v>
      </c>
      <c r="L24" s="230">
        <v>363.11599999999999</v>
      </c>
      <c r="M24" s="232">
        <v>2178.6999999999998</v>
      </c>
      <c r="N24" s="233">
        <f>1815.58+K66</f>
        <v>2062.08</v>
      </c>
      <c r="O24" s="233">
        <f>2178.7+M66</f>
        <v>2474.5</v>
      </c>
      <c r="P24" s="49">
        <f t="shared" si="2"/>
        <v>2062.08</v>
      </c>
      <c r="Q24" s="49">
        <f t="shared" si="3"/>
        <v>2474.5</v>
      </c>
      <c r="R24" s="49">
        <f t="shared" si="4"/>
        <v>0</v>
      </c>
      <c r="S24" s="49">
        <f t="shared" si="0"/>
        <v>0</v>
      </c>
    </row>
    <row r="25" spans="1:19" ht="30">
      <c r="A25" s="168" t="s">
        <v>127</v>
      </c>
      <c r="B25" s="169" t="s">
        <v>303</v>
      </c>
      <c r="C25" s="170"/>
      <c r="D25" s="172"/>
      <c r="E25" s="162"/>
      <c r="F25" s="162"/>
      <c r="G25" s="162"/>
      <c r="H25" s="162"/>
      <c r="I25" s="163"/>
      <c r="J25" s="162"/>
      <c r="K25" s="164"/>
      <c r="L25" s="163"/>
      <c r="M25" s="165"/>
      <c r="P25" s="49"/>
      <c r="Q25" s="49"/>
      <c r="R25" s="49"/>
      <c r="S25" s="49"/>
    </row>
    <row r="26" spans="1:19" ht="15.75" customHeight="1">
      <c r="A26" s="168" t="s">
        <v>129</v>
      </c>
      <c r="B26" s="213" t="s">
        <v>119</v>
      </c>
      <c r="C26" s="214" t="s">
        <v>131</v>
      </c>
      <c r="D26" s="215">
        <v>968.95</v>
      </c>
      <c r="E26" s="216">
        <v>8.84</v>
      </c>
      <c r="F26" s="216">
        <v>968.95</v>
      </c>
      <c r="G26" s="216">
        <v>396.69</v>
      </c>
      <c r="H26" s="216">
        <v>11.89</v>
      </c>
      <c r="I26" s="216">
        <f t="shared" ref="I26:I37" si="5">F26+G26+H26</f>
        <v>1377.5300000000002</v>
      </c>
      <c r="J26" s="216">
        <v>26.21</v>
      </c>
      <c r="K26" s="217">
        <v>1403.7500000000002</v>
      </c>
      <c r="L26" s="216">
        <v>280.75000000000006</v>
      </c>
      <c r="M26" s="218">
        <v>1684.5</v>
      </c>
      <c r="N26" s="219">
        <f>1403.75+K66</f>
        <v>1650.25</v>
      </c>
      <c r="O26" s="219">
        <f>1684.5+M66</f>
        <v>1980.3</v>
      </c>
      <c r="P26" s="49">
        <f t="shared" ref="P26:P37" si="6">K26+$K$66</f>
        <v>1650.2500000000002</v>
      </c>
      <c r="Q26" s="49">
        <f t="shared" ref="Q26:Q37" si="7">M26+$M$66</f>
        <v>1980.3</v>
      </c>
      <c r="R26" s="49">
        <f t="shared" ref="R26:R37" si="8">N26-P26</f>
        <v>0</v>
      </c>
      <c r="S26" s="49">
        <f t="shared" si="0"/>
        <v>0</v>
      </c>
    </row>
    <row r="27" spans="1:19" ht="15.75" customHeight="1">
      <c r="A27" s="168" t="s">
        <v>132</v>
      </c>
      <c r="B27" s="213" t="s">
        <v>122</v>
      </c>
      <c r="C27" s="214" t="s">
        <v>133</v>
      </c>
      <c r="D27" s="215">
        <v>1069.79</v>
      </c>
      <c r="E27" s="216">
        <v>9.76</v>
      </c>
      <c r="F27" s="216">
        <v>1069.79</v>
      </c>
      <c r="G27" s="216">
        <v>437.98</v>
      </c>
      <c r="H27" s="216">
        <v>13.14</v>
      </c>
      <c r="I27" s="216">
        <f t="shared" si="5"/>
        <v>1520.91</v>
      </c>
      <c r="J27" s="216">
        <v>28.94</v>
      </c>
      <c r="K27" s="217">
        <v>1549.92</v>
      </c>
      <c r="L27" s="216">
        <v>309.98400000000004</v>
      </c>
      <c r="M27" s="218">
        <v>1859.9</v>
      </c>
      <c r="N27" s="219">
        <f>1549.92+K66</f>
        <v>1796.42</v>
      </c>
      <c r="O27" s="219">
        <f>1859.9+M66</f>
        <v>2155.7000000000003</v>
      </c>
      <c r="P27" s="49">
        <f t="shared" si="6"/>
        <v>1796.42</v>
      </c>
      <c r="Q27" s="49">
        <f t="shared" si="7"/>
        <v>2155.7000000000003</v>
      </c>
      <c r="R27" s="49">
        <f t="shared" si="8"/>
        <v>0</v>
      </c>
      <c r="S27" s="49">
        <f t="shared" si="0"/>
        <v>0</v>
      </c>
    </row>
    <row r="28" spans="1:19" ht="15.75" customHeight="1">
      <c r="A28" s="168" t="s">
        <v>134</v>
      </c>
      <c r="B28" s="227" t="s">
        <v>107</v>
      </c>
      <c r="C28" s="228" t="s">
        <v>135</v>
      </c>
      <c r="D28" s="229">
        <v>1183.79</v>
      </c>
      <c r="E28" s="230">
        <v>10.8</v>
      </c>
      <c r="F28" s="230">
        <v>1183.79</v>
      </c>
      <c r="G28" s="230">
        <v>484.65</v>
      </c>
      <c r="H28" s="230">
        <v>14.54</v>
      </c>
      <c r="I28" s="230">
        <f t="shared" si="5"/>
        <v>1682.98</v>
      </c>
      <c r="J28" s="230">
        <v>32.03</v>
      </c>
      <c r="K28" s="231">
        <v>1715.08</v>
      </c>
      <c r="L28" s="230">
        <v>343.01600000000002</v>
      </c>
      <c r="M28" s="232">
        <v>2058.1</v>
      </c>
      <c r="N28" s="233">
        <f>1715.08+K66</f>
        <v>1961.58</v>
      </c>
      <c r="O28" s="233">
        <f>2058.1+M66</f>
        <v>2353.9</v>
      </c>
      <c r="P28" s="49">
        <f t="shared" si="6"/>
        <v>1961.58</v>
      </c>
      <c r="Q28" s="49">
        <f t="shared" si="7"/>
        <v>2353.9</v>
      </c>
      <c r="R28" s="49">
        <f t="shared" si="8"/>
        <v>0</v>
      </c>
      <c r="S28" s="49">
        <f t="shared" si="0"/>
        <v>0</v>
      </c>
    </row>
    <row r="29" spans="1:19" ht="15.75" customHeight="1">
      <c r="A29" s="168" t="s">
        <v>136</v>
      </c>
      <c r="B29" s="221" t="s">
        <v>137</v>
      </c>
      <c r="C29" s="222" t="s">
        <v>138</v>
      </c>
      <c r="D29" s="223">
        <v>1326.28</v>
      </c>
      <c r="E29" s="166">
        <v>12.1</v>
      </c>
      <c r="F29" s="166">
        <v>1326.28</v>
      </c>
      <c r="G29" s="166">
        <v>542.99</v>
      </c>
      <c r="H29" s="166">
        <v>16.29</v>
      </c>
      <c r="I29" s="166">
        <f t="shared" si="5"/>
        <v>1885.56</v>
      </c>
      <c r="J29" s="166">
        <v>35.880000000000003</v>
      </c>
      <c r="K29" s="224">
        <v>1921.5</v>
      </c>
      <c r="L29" s="166">
        <v>384.3</v>
      </c>
      <c r="M29" s="225">
        <v>2305.8000000000002</v>
      </c>
      <c r="N29" s="226">
        <f>1921.5+K66</f>
        <v>2168</v>
      </c>
      <c r="O29" s="226">
        <f>2305.8+M66</f>
        <v>2601.6000000000004</v>
      </c>
      <c r="P29" s="49">
        <f t="shared" si="6"/>
        <v>2168</v>
      </c>
      <c r="Q29" s="49">
        <f t="shared" si="7"/>
        <v>2601.6000000000004</v>
      </c>
      <c r="R29" s="49">
        <f t="shared" si="8"/>
        <v>0</v>
      </c>
      <c r="S29" s="49">
        <f t="shared" si="0"/>
        <v>0</v>
      </c>
    </row>
    <row r="30" spans="1:19" ht="15.75" customHeight="1">
      <c r="A30" s="168" t="s">
        <v>139</v>
      </c>
      <c r="B30" s="200" t="s">
        <v>140</v>
      </c>
      <c r="C30" s="201" t="s">
        <v>141</v>
      </c>
      <c r="D30" s="202">
        <v>1627.71</v>
      </c>
      <c r="E30" s="203">
        <v>14.85</v>
      </c>
      <c r="F30" s="203">
        <v>1627.71</v>
      </c>
      <c r="G30" s="203">
        <v>666.4</v>
      </c>
      <c r="H30" s="203">
        <v>19.989999999999998</v>
      </c>
      <c r="I30" s="203">
        <f t="shared" si="5"/>
        <v>2314.1</v>
      </c>
      <c r="J30" s="203">
        <v>44.04</v>
      </c>
      <c r="K30" s="204">
        <v>2358.17</v>
      </c>
      <c r="L30" s="203">
        <v>471.63400000000001</v>
      </c>
      <c r="M30" s="205">
        <v>2829.8</v>
      </c>
      <c r="N30" s="234">
        <f>2358.17+K66</f>
        <v>2604.67</v>
      </c>
      <c r="O30" s="234">
        <f>2829.8+M66</f>
        <v>3125.6000000000004</v>
      </c>
      <c r="P30" s="49">
        <f t="shared" si="6"/>
        <v>2604.67</v>
      </c>
      <c r="Q30" s="49">
        <f t="shared" si="7"/>
        <v>3125.6000000000004</v>
      </c>
      <c r="R30" s="49">
        <f t="shared" si="8"/>
        <v>0</v>
      </c>
      <c r="S30" s="49">
        <f t="shared" si="0"/>
        <v>0</v>
      </c>
    </row>
    <row r="31" spans="1:19" ht="15.75" customHeight="1">
      <c r="A31" s="168" t="s">
        <v>142</v>
      </c>
      <c r="B31" s="235" t="s">
        <v>143</v>
      </c>
      <c r="C31" s="236" t="s">
        <v>144</v>
      </c>
      <c r="D31" s="237">
        <v>2375.25</v>
      </c>
      <c r="E31" s="238">
        <v>21.67</v>
      </c>
      <c r="F31" s="238">
        <v>2375.25</v>
      </c>
      <c r="G31" s="238">
        <v>972.43</v>
      </c>
      <c r="H31" s="238">
        <v>29.16</v>
      </c>
      <c r="I31" s="238">
        <f t="shared" si="5"/>
        <v>3376.8399999999997</v>
      </c>
      <c r="J31" s="238">
        <v>64.25</v>
      </c>
      <c r="K31" s="239">
        <v>3441.1699999999996</v>
      </c>
      <c r="L31" s="238">
        <v>688.23399999999992</v>
      </c>
      <c r="M31" s="240">
        <v>4129.3999999999996</v>
      </c>
      <c r="N31" s="241">
        <f>3441.17+K66</f>
        <v>3687.67</v>
      </c>
      <c r="O31" s="241">
        <f>4129.4+M66</f>
        <v>4425.2</v>
      </c>
      <c r="P31" s="49">
        <f t="shared" si="6"/>
        <v>3687.6699999999996</v>
      </c>
      <c r="Q31" s="49">
        <f t="shared" si="7"/>
        <v>4425.2</v>
      </c>
      <c r="R31" s="49">
        <f t="shared" si="8"/>
        <v>0</v>
      </c>
      <c r="S31" s="49">
        <f t="shared" si="0"/>
        <v>0</v>
      </c>
    </row>
    <row r="32" spans="1:19" ht="15.75" customHeight="1">
      <c r="A32" s="168" t="s">
        <v>145</v>
      </c>
      <c r="B32" s="242" t="s">
        <v>146</v>
      </c>
      <c r="C32" s="243" t="s">
        <v>147</v>
      </c>
      <c r="D32" s="244">
        <v>2854.24</v>
      </c>
      <c r="E32" s="245">
        <v>26.04</v>
      </c>
      <c r="F32" s="245">
        <v>2854.24</v>
      </c>
      <c r="G32" s="245">
        <v>1168.55</v>
      </c>
      <c r="H32" s="245">
        <v>35.04</v>
      </c>
      <c r="I32" s="245">
        <f t="shared" si="5"/>
        <v>4057.83</v>
      </c>
      <c r="J32" s="245">
        <v>77.209999999999994</v>
      </c>
      <c r="K32" s="246">
        <v>4135.08</v>
      </c>
      <c r="L32" s="245">
        <v>827.01600000000008</v>
      </c>
      <c r="M32" s="247">
        <v>4962.1000000000004</v>
      </c>
      <c r="N32" s="248">
        <f>4135.08+K66</f>
        <v>4381.58</v>
      </c>
      <c r="O32" s="248">
        <f>4962.1+M66</f>
        <v>5257.9000000000005</v>
      </c>
      <c r="P32" s="49">
        <f t="shared" si="6"/>
        <v>4381.58</v>
      </c>
      <c r="Q32" s="49">
        <f t="shared" si="7"/>
        <v>5257.9000000000005</v>
      </c>
      <c r="R32" s="49">
        <f t="shared" si="8"/>
        <v>0</v>
      </c>
      <c r="S32" s="49">
        <f t="shared" si="0"/>
        <v>0</v>
      </c>
    </row>
    <row r="33" spans="1:19" ht="15.75" customHeight="1">
      <c r="A33" s="168" t="s">
        <v>148</v>
      </c>
      <c r="B33" s="257" t="s">
        <v>149</v>
      </c>
      <c r="C33" s="249" t="s">
        <v>150</v>
      </c>
      <c r="D33" s="250">
        <v>3425.31</v>
      </c>
      <c r="E33" s="251">
        <v>31.25</v>
      </c>
      <c r="F33" s="251">
        <v>3425.31</v>
      </c>
      <c r="G33" s="251">
        <v>1402.34</v>
      </c>
      <c r="H33" s="251">
        <v>42.05</v>
      </c>
      <c r="I33" s="251">
        <f t="shared" si="5"/>
        <v>4869.7</v>
      </c>
      <c r="J33" s="252">
        <v>92.65</v>
      </c>
      <c r="K33" s="261">
        <v>4962.42</v>
      </c>
      <c r="L33" s="260">
        <v>992.48400000000004</v>
      </c>
      <c r="M33" s="262">
        <v>5954.9</v>
      </c>
      <c r="N33" s="263">
        <f>4962.42+K66</f>
        <v>5208.92</v>
      </c>
      <c r="O33" s="263">
        <f>5954.9+M66</f>
        <v>6250.7</v>
      </c>
      <c r="P33" s="49">
        <f t="shared" si="6"/>
        <v>5208.92</v>
      </c>
      <c r="Q33" s="49">
        <f t="shared" si="7"/>
        <v>6250.7</v>
      </c>
      <c r="R33" s="49">
        <f t="shared" si="8"/>
        <v>0</v>
      </c>
      <c r="S33" s="49">
        <f t="shared" si="0"/>
        <v>0</v>
      </c>
    </row>
    <row r="34" spans="1:19" ht="15.75" customHeight="1">
      <c r="A34" s="168" t="s">
        <v>151</v>
      </c>
      <c r="B34" s="281" t="s">
        <v>152</v>
      </c>
      <c r="C34" s="253" t="s">
        <v>153</v>
      </c>
      <c r="D34" s="254">
        <v>4346.04</v>
      </c>
      <c r="E34" s="255">
        <v>39.65</v>
      </c>
      <c r="F34" s="255">
        <v>4346.04</v>
      </c>
      <c r="G34" s="256">
        <v>1779.31</v>
      </c>
      <c r="H34" s="255">
        <v>53.36</v>
      </c>
      <c r="I34" s="255">
        <f t="shared" si="5"/>
        <v>6178.71</v>
      </c>
      <c r="J34" s="255">
        <v>117.56</v>
      </c>
      <c r="K34" s="282">
        <v>6296.33</v>
      </c>
      <c r="L34" s="283">
        <v>1259.2660000000001</v>
      </c>
      <c r="M34" s="284">
        <v>7555.6</v>
      </c>
      <c r="N34" s="285">
        <f>6296.33+K66</f>
        <v>6542.83</v>
      </c>
      <c r="O34" s="285">
        <f>7555.6+M66</f>
        <v>7851.4000000000005</v>
      </c>
      <c r="P34" s="49">
        <f t="shared" si="6"/>
        <v>6542.83</v>
      </c>
      <c r="Q34" s="49">
        <f t="shared" si="7"/>
        <v>7851.4000000000005</v>
      </c>
      <c r="R34" s="49">
        <f t="shared" si="8"/>
        <v>0</v>
      </c>
      <c r="S34" s="49">
        <f t="shared" si="0"/>
        <v>0</v>
      </c>
    </row>
    <row r="35" spans="1:19" ht="15.75" customHeight="1">
      <c r="A35" s="168" t="s">
        <v>154</v>
      </c>
      <c r="B35" s="280" t="s">
        <v>155</v>
      </c>
      <c r="C35" s="258" t="s">
        <v>156</v>
      </c>
      <c r="D35" s="259">
        <v>4548.82</v>
      </c>
      <c r="E35" s="260">
        <v>41.5</v>
      </c>
      <c r="F35" s="260">
        <v>4548.82</v>
      </c>
      <c r="G35" s="260">
        <v>1862.32</v>
      </c>
      <c r="H35" s="260">
        <v>55.84</v>
      </c>
      <c r="I35" s="260">
        <f t="shared" si="5"/>
        <v>6466.98</v>
      </c>
      <c r="J35" s="260">
        <v>123.03</v>
      </c>
      <c r="K35" s="290">
        <v>6590.08</v>
      </c>
      <c r="L35" s="291">
        <v>1318.0160000000001</v>
      </c>
      <c r="M35" s="292">
        <v>7908.1</v>
      </c>
      <c r="N35" s="293">
        <f>6590.08+K66</f>
        <v>6836.58</v>
      </c>
      <c r="O35" s="293">
        <f>7908.1+M66</f>
        <v>8203.9</v>
      </c>
      <c r="P35" s="49">
        <f t="shared" si="6"/>
        <v>6836.58</v>
      </c>
      <c r="Q35" s="49">
        <f t="shared" si="7"/>
        <v>8203.9</v>
      </c>
      <c r="R35" s="49">
        <f t="shared" si="8"/>
        <v>0</v>
      </c>
      <c r="S35" s="49">
        <f t="shared" si="0"/>
        <v>0</v>
      </c>
    </row>
    <row r="36" spans="1:19" ht="15.75" customHeight="1">
      <c r="A36" s="168" t="s">
        <v>157</v>
      </c>
      <c r="B36" s="279" t="s">
        <v>158</v>
      </c>
      <c r="C36" s="294" t="s">
        <v>159</v>
      </c>
      <c r="D36" s="295">
        <v>5118.79</v>
      </c>
      <c r="E36" s="287">
        <v>46.7</v>
      </c>
      <c r="F36" s="287">
        <v>5118.79</v>
      </c>
      <c r="G36" s="296">
        <v>2095.66</v>
      </c>
      <c r="H36" s="287">
        <v>62.84</v>
      </c>
      <c r="I36" s="287">
        <f t="shared" si="5"/>
        <v>7277.29</v>
      </c>
      <c r="J36" s="287">
        <v>138.44999999999999</v>
      </c>
      <c r="K36" s="286">
        <v>7415.75</v>
      </c>
      <c r="L36" s="287">
        <v>1483.15</v>
      </c>
      <c r="M36" s="288">
        <v>8898.9</v>
      </c>
      <c r="N36" s="289">
        <f>7415.75+K66</f>
        <v>7662.25</v>
      </c>
      <c r="O36" s="289">
        <f>8898.9+M66</f>
        <v>9194.6999999999989</v>
      </c>
      <c r="P36" s="49">
        <f t="shared" si="6"/>
        <v>7662.25</v>
      </c>
      <c r="Q36" s="49">
        <f t="shared" si="7"/>
        <v>9194.6999999999989</v>
      </c>
      <c r="R36" s="49">
        <f t="shared" si="8"/>
        <v>0</v>
      </c>
      <c r="S36" s="49">
        <f t="shared" si="0"/>
        <v>0</v>
      </c>
    </row>
    <row r="37" spans="1:19" ht="15.75" customHeight="1">
      <c r="A37" s="168" t="s">
        <v>160</v>
      </c>
      <c r="B37" s="297" t="s">
        <v>161</v>
      </c>
      <c r="C37" s="298" t="s">
        <v>162</v>
      </c>
      <c r="D37" s="299">
        <v>5210.8599999999997</v>
      </c>
      <c r="E37" s="300">
        <v>47.54</v>
      </c>
      <c r="F37" s="300">
        <v>5210.8599999999997</v>
      </c>
      <c r="G37" s="300">
        <v>2133.36</v>
      </c>
      <c r="H37" s="300">
        <v>63.97</v>
      </c>
      <c r="I37" s="300">
        <f t="shared" si="5"/>
        <v>7408.19</v>
      </c>
      <c r="J37" s="300">
        <v>140.94999999999999</v>
      </c>
      <c r="K37" s="301">
        <v>7549.1699999999992</v>
      </c>
      <c r="L37" s="300">
        <v>1509.8339999999998</v>
      </c>
      <c r="M37" s="302">
        <v>9059</v>
      </c>
      <c r="N37" s="303">
        <f>7549.17+K66</f>
        <v>7795.67</v>
      </c>
      <c r="O37" s="303">
        <f>9059+M66</f>
        <v>9354.7999999999993</v>
      </c>
      <c r="P37" s="49">
        <f t="shared" si="6"/>
        <v>7795.6699999999992</v>
      </c>
      <c r="Q37" s="49">
        <f t="shared" si="7"/>
        <v>9354.7999999999993</v>
      </c>
      <c r="R37" s="49">
        <f t="shared" si="8"/>
        <v>0</v>
      </c>
      <c r="S37" s="49">
        <f t="shared" si="0"/>
        <v>0</v>
      </c>
    </row>
    <row r="38" spans="1:19" ht="30">
      <c r="A38" s="168" t="s">
        <v>163</v>
      </c>
      <c r="B38" s="169" t="s">
        <v>304</v>
      </c>
      <c r="C38" s="170"/>
      <c r="D38" s="172"/>
      <c r="E38" s="162"/>
      <c r="F38" s="162"/>
      <c r="G38" s="162"/>
      <c r="H38" s="162"/>
      <c r="I38" s="163"/>
      <c r="J38" s="162"/>
      <c r="K38" s="164"/>
      <c r="L38" s="163"/>
      <c r="M38" s="165"/>
      <c r="P38" s="49"/>
      <c r="Q38" s="49"/>
      <c r="R38" s="49"/>
      <c r="S38" s="49"/>
    </row>
    <row r="39" spans="1:19" ht="15.75" customHeight="1">
      <c r="A39" s="168" t="s">
        <v>23</v>
      </c>
      <c r="B39" s="213" t="s">
        <v>165</v>
      </c>
      <c r="C39" s="214" t="s">
        <v>166</v>
      </c>
      <c r="D39" s="215">
        <v>620.39</v>
      </c>
      <c r="E39" s="216">
        <v>5.66</v>
      </c>
      <c r="F39" s="216">
        <v>620.39</v>
      </c>
      <c r="G39" s="216">
        <v>253.99</v>
      </c>
      <c r="H39" s="216">
        <v>7.61</v>
      </c>
      <c r="I39" s="216">
        <f t="shared" ref="I39:I46" si="9">F39+G39+H39</f>
        <v>881.99</v>
      </c>
      <c r="J39" s="216">
        <v>16.77</v>
      </c>
      <c r="K39" s="217">
        <v>898.83</v>
      </c>
      <c r="L39" s="216">
        <v>179.76600000000002</v>
      </c>
      <c r="M39" s="218">
        <v>1078.5999999999999</v>
      </c>
      <c r="N39" s="219">
        <f>898.83+K66</f>
        <v>1145.33</v>
      </c>
      <c r="O39" s="219">
        <f>1078.6+M66</f>
        <v>1374.3999999999999</v>
      </c>
      <c r="P39" s="49">
        <f t="shared" ref="P39:P46" si="10">K39+$K$66</f>
        <v>1145.33</v>
      </c>
      <c r="Q39" s="49">
        <f t="shared" ref="Q39:Q46" si="11">M39+$M$66</f>
        <v>1374.3999999999999</v>
      </c>
      <c r="R39" s="49">
        <f t="shared" ref="R39:R46" si="12">N39-P39</f>
        <v>0</v>
      </c>
      <c r="S39" s="49">
        <f t="shared" si="0"/>
        <v>0</v>
      </c>
    </row>
    <row r="40" spans="1:19" ht="15.75" customHeight="1">
      <c r="A40" s="168" t="s">
        <v>25</v>
      </c>
      <c r="B40" s="221" t="s">
        <v>137</v>
      </c>
      <c r="C40" s="222" t="s">
        <v>167</v>
      </c>
      <c r="D40" s="223">
        <v>771.65</v>
      </c>
      <c r="E40" s="166">
        <v>7.04</v>
      </c>
      <c r="F40" s="166">
        <v>771.65</v>
      </c>
      <c r="G40" s="166">
        <v>315.92</v>
      </c>
      <c r="H40" s="166">
        <v>9.4700000000000006</v>
      </c>
      <c r="I40" s="166">
        <f t="shared" si="9"/>
        <v>1097.04</v>
      </c>
      <c r="J40" s="166">
        <v>20.87</v>
      </c>
      <c r="K40" s="224">
        <v>1117.92</v>
      </c>
      <c r="L40" s="166">
        <v>223.58400000000003</v>
      </c>
      <c r="M40" s="225">
        <v>1341.5</v>
      </c>
      <c r="N40" s="226">
        <f>1117.92+K66</f>
        <v>1364.42</v>
      </c>
      <c r="O40" s="226">
        <f>1341.5+M66</f>
        <v>1637.3</v>
      </c>
      <c r="P40" s="49">
        <f t="shared" si="10"/>
        <v>1364.42</v>
      </c>
      <c r="Q40" s="49">
        <f t="shared" si="11"/>
        <v>1637.3</v>
      </c>
      <c r="R40" s="49">
        <f t="shared" si="12"/>
        <v>0</v>
      </c>
      <c r="S40" s="49">
        <f t="shared" si="0"/>
        <v>0</v>
      </c>
    </row>
    <row r="41" spans="1:19" ht="15.75" customHeight="1">
      <c r="A41" s="168" t="s">
        <v>27</v>
      </c>
      <c r="B41" s="200" t="s">
        <v>140</v>
      </c>
      <c r="C41" s="201" t="s">
        <v>168</v>
      </c>
      <c r="D41" s="202">
        <v>1196.94</v>
      </c>
      <c r="E41" s="203">
        <v>10.92</v>
      </c>
      <c r="F41" s="203">
        <v>1196.94</v>
      </c>
      <c r="G41" s="203">
        <v>490.03</v>
      </c>
      <c r="H41" s="203">
        <v>14.7</v>
      </c>
      <c r="I41" s="203">
        <f t="shared" si="9"/>
        <v>1701.67</v>
      </c>
      <c r="J41" s="203">
        <v>32.380000000000003</v>
      </c>
      <c r="K41" s="204">
        <v>1734.0800000000002</v>
      </c>
      <c r="L41" s="203">
        <v>346.81600000000003</v>
      </c>
      <c r="M41" s="205">
        <v>2080.9</v>
      </c>
      <c r="N41" s="234">
        <f>1734.08+K66</f>
        <v>1980.58</v>
      </c>
      <c r="O41" s="234">
        <f>2080.9+M66</f>
        <v>2376.7000000000003</v>
      </c>
      <c r="P41" s="49">
        <f t="shared" si="10"/>
        <v>1980.5800000000002</v>
      </c>
      <c r="Q41" s="49">
        <f t="shared" si="11"/>
        <v>2376.7000000000003</v>
      </c>
      <c r="R41" s="49">
        <f t="shared" si="12"/>
        <v>0</v>
      </c>
      <c r="S41" s="49">
        <f t="shared" si="0"/>
        <v>0</v>
      </c>
    </row>
    <row r="42" spans="1:19" ht="15.75" customHeight="1">
      <c r="A42" s="168" t="s">
        <v>29</v>
      </c>
      <c r="B42" s="235" t="s">
        <v>143</v>
      </c>
      <c r="C42" s="236" t="s">
        <v>169</v>
      </c>
      <c r="D42" s="237">
        <v>1683.61</v>
      </c>
      <c r="E42" s="238">
        <v>15.36</v>
      </c>
      <c r="F42" s="238">
        <v>1683.61</v>
      </c>
      <c r="G42" s="238">
        <v>689.27</v>
      </c>
      <c r="H42" s="238">
        <v>20.66</v>
      </c>
      <c r="I42" s="238">
        <f t="shared" si="9"/>
        <v>2393.54</v>
      </c>
      <c r="J42" s="238">
        <v>45.53</v>
      </c>
      <c r="K42" s="239">
        <v>2439.08</v>
      </c>
      <c r="L42" s="238">
        <v>487.81600000000003</v>
      </c>
      <c r="M42" s="240">
        <v>2926.9</v>
      </c>
      <c r="N42" s="241">
        <f>2439.08+K66</f>
        <v>2685.58</v>
      </c>
      <c r="O42" s="241">
        <f>2926.9+M66</f>
        <v>3222.7000000000003</v>
      </c>
      <c r="P42" s="49">
        <f t="shared" si="10"/>
        <v>2685.58</v>
      </c>
      <c r="Q42" s="49">
        <f t="shared" si="11"/>
        <v>3222.7000000000003</v>
      </c>
      <c r="R42" s="49">
        <f t="shared" si="12"/>
        <v>0</v>
      </c>
      <c r="S42" s="49">
        <f t="shared" si="0"/>
        <v>0</v>
      </c>
    </row>
    <row r="43" spans="1:19" ht="15.75" customHeight="1">
      <c r="A43" s="168" t="s">
        <v>170</v>
      </c>
      <c r="B43" s="242" t="s">
        <v>146</v>
      </c>
      <c r="C43" s="243" t="s">
        <v>172</v>
      </c>
      <c r="D43" s="244">
        <v>2099.0300000000002</v>
      </c>
      <c r="E43" s="245">
        <v>19.149999999999999</v>
      </c>
      <c r="F43" s="245">
        <v>2099.0300000000002</v>
      </c>
      <c r="G43" s="245">
        <v>859.36</v>
      </c>
      <c r="H43" s="245">
        <v>25.77</v>
      </c>
      <c r="I43" s="245">
        <f t="shared" si="9"/>
        <v>2984.1600000000003</v>
      </c>
      <c r="J43" s="245">
        <v>56.77</v>
      </c>
      <c r="K43" s="246">
        <v>3041.0000000000005</v>
      </c>
      <c r="L43" s="245">
        <v>608.20000000000016</v>
      </c>
      <c r="M43" s="247">
        <v>3649.2</v>
      </c>
      <c r="N43" s="248">
        <f>3041+K66</f>
        <v>3287.5</v>
      </c>
      <c r="O43" s="248">
        <f>3649.2+M66</f>
        <v>3945</v>
      </c>
      <c r="P43" s="49">
        <f t="shared" si="10"/>
        <v>3287.5000000000005</v>
      </c>
      <c r="Q43" s="49">
        <f t="shared" si="11"/>
        <v>3945</v>
      </c>
      <c r="R43" s="49">
        <f t="shared" si="12"/>
        <v>0</v>
      </c>
      <c r="S43" s="49">
        <f t="shared" si="0"/>
        <v>0</v>
      </c>
    </row>
    <row r="44" spans="1:19" ht="23.25" customHeight="1">
      <c r="A44" s="168" t="s">
        <v>173</v>
      </c>
      <c r="B44" s="257" t="s">
        <v>149</v>
      </c>
      <c r="C44" s="249" t="s">
        <v>175</v>
      </c>
      <c r="D44" s="250">
        <v>2523.2199999999998</v>
      </c>
      <c r="E44" s="251">
        <v>23.02</v>
      </c>
      <c r="F44" s="251">
        <v>2523.2199999999998</v>
      </c>
      <c r="G44" s="251">
        <v>1033.02</v>
      </c>
      <c r="H44" s="251">
        <v>30.97</v>
      </c>
      <c r="I44" s="251">
        <f t="shared" si="9"/>
        <v>3587.2099999999996</v>
      </c>
      <c r="J44" s="251">
        <v>68.239999999999995</v>
      </c>
      <c r="K44" s="261">
        <v>3655.4999999999995</v>
      </c>
      <c r="L44" s="260">
        <v>731.09999999999991</v>
      </c>
      <c r="M44" s="262">
        <v>4386.6000000000004</v>
      </c>
      <c r="N44" s="263">
        <f>3655.5+K66</f>
        <v>3902</v>
      </c>
      <c r="O44" s="263">
        <f>4386.6+M66</f>
        <v>4682.4000000000005</v>
      </c>
      <c r="P44" s="49">
        <f t="shared" si="10"/>
        <v>3901.9999999999995</v>
      </c>
      <c r="Q44" s="49">
        <f t="shared" si="11"/>
        <v>4682.4000000000005</v>
      </c>
      <c r="R44" s="49">
        <f t="shared" si="12"/>
        <v>0</v>
      </c>
      <c r="S44" s="49">
        <f t="shared" si="0"/>
        <v>0</v>
      </c>
    </row>
    <row r="45" spans="1:19" ht="15.75" customHeight="1">
      <c r="A45" s="168" t="s">
        <v>176</v>
      </c>
      <c r="B45" s="280" t="s">
        <v>155</v>
      </c>
      <c r="C45" s="258" t="s">
        <v>178</v>
      </c>
      <c r="D45" s="259">
        <v>3461.48</v>
      </c>
      <c r="E45" s="260">
        <v>31.58</v>
      </c>
      <c r="F45" s="260">
        <v>3461.48</v>
      </c>
      <c r="G45" s="260">
        <v>1417.15</v>
      </c>
      <c r="H45" s="260">
        <v>42.5</v>
      </c>
      <c r="I45" s="260">
        <f t="shared" si="9"/>
        <v>4921.13</v>
      </c>
      <c r="J45" s="260">
        <v>93.63</v>
      </c>
      <c r="K45" s="290">
        <v>5014.83</v>
      </c>
      <c r="L45" s="291">
        <v>1002.966</v>
      </c>
      <c r="M45" s="292">
        <v>6017.8</v>
      </c>
      <c r="N45" s="293">
        <f>5014.83+K66</f>
        <v>5261.33</v>
      </c>
      <c r="O45" s="293">
        <f>6017.8+M66</f>
        <v>6313.6</v>
      </c>
      <c r="P45" s="49">
        <f t="shared" si="10"/>
        <v>5261.33</v>
      </c>
      <c r="Q45" s="49">
        <f t="shared" si="11"/>
        <v>6313.6</v>
      </c>
      <c r="R45" s="49">
        <f t="shared" si="12"/>
        <v>0</v>
      </c>
      <c r="S45" s="49">
        <f t="shared" si="0"/>
        <v>0</v>
      </c>
    </row>
    <row r="46" spans="1:19" ht="15.75" customHeight="1">
      <c r="A46" s="168" t="s">
        <v>179</v>
      </c>
      <c r="B46" s="297" t="s">
        <v>161</v>
      </c>
      <c r="C46" s="298" t="s">
        <v>181</v>
      </c>
      <c r="D46" s="299">
        <v>4235.33</v>
      </c>
      <c r="E46" s="300">
        <v>38.64</v>
      </c>
      <c r="F46" s="300">
        <v>4235.33</v>
      </c>
      <c r="G46" s="300">
        <v>1733.97</v>
      </c>
      <c r="H46" s="300">
        <v>51.99</v>
      </c>
      <c r="I46" s="300">
        <f t="shared" si="9"/>
        <v>6021.29</v>
      </c>
      <c r="J46" s="300">
        <v>114.55</v>
      </c>
      <c r="K46" s="301">
        <v>6135.92</v>
      </c>
      <c r="L46" s="300">
        <v>1227.184</v>
      </c>
      <c r="M46" s="302">
        <v>7363.1</v>
      </c>
      <c r="N46" s="303">
        <f>6135.92+K66</f>
        <v>6382.42</v>
      </c>
      <c r="O46" s="303">
        <f>7363.1+M66</f>
        <v>7658.9000000000005</v>
      </c>
      <c r="P46" s="49">
        <f t="shared" si="10"/>
        <v>6382.42</v>
      </c>
      <c r="Q46" s="49">
        <f t="shared" si="11"/>
        <v>7658.9000000000005</v>
      </c>
      <c r="R46" s="49">
        <f t="shared" si="12"/>
        <v>0</v>
      </c>
      <c r="S46" s="49">
        <f t="shared" si="0"/>
        <v>0</v>
      </c>
    </row>
    <row r="47" spans="1:19" ht="15.75" customHeight="1">
      <c r="A47" s="168" t="s">
        <v>182</v>
      </c>
      <c r="B47" s="169" t="s">
        <v>305</v>
      </c>
      <c r="C47" s="170"/>
      <c r="D47" s="172"/>
      <c r="E47" s="162"/>
      <c r="F47" s="162"/>
      <c r="G47" s="162"/>
      <c r="H47" s="162"/>
      <c r="I47" s="163"/>
      <c r="J47" s="162"/>
      <c r="K47" s="164"/>
      <c r="L47" s="163"/>
      <c r="M47" s="165"/>
      <c r="P47" s="49"/>
      <c r="Q47" s="49"/>
      <c r="R47" s="49"/>
      <c r="S47" s="49"/>
    </row>
    <row r="48" spans="1:19" ht="15.75" customHeight="1">
      <c r="A48" s="168" t="s">
        <v>33</v>
      </c>
      <c r="B48" s="160" t="s">
        <v>184</v>
      </c>
      <c r="C48" s="161" t="s">
        <v>185</v>
      </c>
      <c r="D48" s="220">
        <v>3438.96</v>
      </c>
      <c r="E48" s="163">
        <v>3.56</v>
      </c>
      <c r="F48" s="163">
        <v>343.9</v>
      </c>
      <c r="G48" s="163">
        <v>148.94999999999999</v>
      </c>
      <c r="H48" s="163">
        <v>4.78</v>
      </c>
      <c r="I48" s="163">
        <f>F48+G48+H48</f>
        <v>497.62999999999994</v>
      </c>
      <c r="J48" s="163">
        <v>10.54</v>
      </c>
      <c r="K48" s="164">
        <v>508.16999999999996</v>
      </c>
      <c r="L48" s="163">
        <v>101.634</v>
      </c>
      <c r="M48" s="165">
        <v>609.79999999999995</v>
      </c>
      <c r="N48" s="49">
        <f>508.17+K66</f>
        <v>754.67000000000007</v>
      </c>
      <c r="O48" s="49">
        <f>609.8+M66</f>
        <v>905.59999999999991</v>
      </c>
      <c r="P48" s="49">
        <f>K48+$K$66</f>
        <v>754.67</v>
      </c>
      <c r="Q48" s="49">
        <f>M48+$M$66</f>
        <v>905.59999999999991</v>
      </c>
      <c r="R48" s="49">
        <f>N48-P48</f>
        <v>0</v>
      </c>
      <c r="S48" s="49">
        <f t="shared" si="0"/>
        <v>0</v>
      </c>
    </row>
    <row r="49" spans="1:19" ht="15.75" customHeight="1">
      <c r="A49" s="168" t="s">
        <v>35</v>
      </c>
      <c r="B49" s="160" t="s">
        <v>186</v>
      </c>
      <c r="C49" s="161" t="s">
        <v>187</v>
      </c>
      <c r="D49" s="220">
        <v>4646.46</v>
      </c>
      <c r="E49" s="163">
        <v>4.8099999999999996</v>
      </c>
      <c r="F49" s="163">
        <v>464.65</v>
      </c>
      <c r="G49" s="163">
        <v>201.25</v>
      </c>
      <c r="H49" s="163">
        <v>6.47</v>
      </c>
      <c r="I49" s="163">
        <f>F49+G49+H49</f>
        <v>672.37</v>
      </c>
      <c r="J49" s="163">
        <v>14.25</v>
      </c>
      <c r="K49" s="164">
        <v>686.67</v>
      </c>
      <c r="L49" s="163">
        <v>137.334</v>
      </c>
      <c r="M49" s="165">
        <v>824</v>
      </c>
      <c r="N49" s="49">
        <f>686.67+K66</f>
        <v>933.17</v>
      </c>
      <c r="O49" s="49">
        <f>824+M66</f>
        <v>1119.8</v>
      </c>
      <c r="P49" s="49">
        <f>K49+$K$66</f>
        <v>933.17</v>
      </c>
      <c r="Q49" s="49">
        <f>M49+$M$66</f>
        <v>1119.8</v>
      </c>
      <c r="R49" s="49">
        <f>N49-P49</f>
        <v>0</v>
      </c>
      <c r="S49" s="49">
        <f t="shared" si="0"/>
        <v>0</v>
      </c>
    </row>
    <row r="50" spans="1:19" ht="30">
      <c r="A50" s="168" t="s">
        <v>188</v>
      </c>
      <c r="B50" s="264" t="s">
        <v>189</v>
      </c>
      <c r="C50" s="265"/>
      <c r="D50" s="266"/>
      <c r="E50" s="267"/>
      <c r="F50" s="267"/>
      <c r="G50" s="267"/>
      <c r="H50" s="267"/>
      <c r="I50" s="267"/>
      <c r="J50" s="267"/>
      <c r="K50" s="268"/>
      <c r="L50" s="267"/>
      <c r="M50" s="269"/>
      <c r="N50" s="270"/>
      <c r="O50" s="270"/>
      <c r="P50" s="49"/>
      <c r="Q50" s="49"/>
      <c r="R50" s="49"/>
      <c r="S50" s="49"/>
    </row>
    <row r="51" spans="1:19" ht="15.75" customHeight="1">
      <c r="A51" s="168" t="s">
        <v>190</v>
      </c>
      <c r="B51" s="264" t="s">
        <v>191</v>
      </c>
      <c r="C51" s="265" t="s">
        <v>192</v>
      </c>
      <c r="D51" s="271">
        <v>465.84</v>
      </c>
      <c r="E51" s="267">
        <v>4.25</v>
      </c>
      <c r="F51" s="267">
        <v>465.84</v>
      </c>
      <c r="G51" s="267">
        <v>190.71</v>
      </c>
      <c r="H51" s="267">
        <v>5.72</v>
      </c>
      <c r="I51" s="267">
        <f t="shared" ref="I51:I61" si="13">F51+G51+H51</f>
        <v>662.27</v>
      </c>
      <c r="J51" s="267">
        <v>12.6</v>
      </c>
      <c r="K51" s="268">
        <v>674.92</v>
      </c>
      <c r="L51" s="267">
        <v>134.98400000000001</v>
      </c>
      <c r="M51" s="269">
        <v>809.9</v>
      </c>
      <c r="N51" s="272">
        <f>674.92+K66</f>
        <v>921.42</v>
      </c>
      <c r="O51" s="272">
        <f>809.9+M66</f>
        <v>1105.7</v>
      </c>
      <c r="P51" s="49">
        <f t="shared" ref="P51:P61" si="14">K51+$K$66</f>
        <v>921.42</v>
      </c>
      <c r="Q51" s="49">
        <f t="shared" ref="Q51:Q61" si="15">M51+$M$66</f>
        <v>1105.7</v>
      </c>
      <c r="R51" s="49">
        <f t="shared" ref="R51:R61" si="16">N51-P51</f>
        <v>0</v>
      </c>
      <c r="S51" s="49">
        <f t="shared" si="0"/>
        <v>0</v>
      </c>
    </row>
    <row r="52" spans="1:19" s="60" customFormat="1" ht="15.75" customHeight="1">
      <c r="A52" s="168" t="s">
        <v>193</v>
      </c>
      <c r="B52" s="264" t="s">
        <v>194</v>
      </c>
      <c r="C52" s="265" t="s">
        <v>195</v>
      </c>
      <c r="D52" s="271">
        <v>538.19000000000005</v>
      </c>
      <c r="E52" s="267">
        <v>4.91</v>
      </c>
      <c r="F52" s="267">
        <v>538.19000000000005</v>
      </c>
      <c r="G52" s="267">
        <v>220.34</v>
      </c>
      <c r="H52" s="267">
        <v>6.61</v>
      </c>
      <c r="I52" s="267">
        <f t="shared" si="13"/>
        <v>765.1400000000001</v>
      </c>
      <c r="J52" s="267">
        <v>14.55</v>
      </c>
      <c r="K52" s="268">
        <v>779.75000000000011</v>
      </c>
      <c r="L52" s="267">
        <v>155.95000000000005</v>
      </c>
      <c r="M52" s="269">
        <v>935.7</v>
      </c>
      <c r="N52" s="272">
        <f>779.75+K66</f>
        <v>1026.25</v>
      </c>
      <c r="O52" s="272">
        <f>935.7+M66</f>
        <v>1231.5</v>
      </c>
      <c r="P52" s="49">
        <f t="shared" si="14"/>
        <v>1026.25</v>
      </c>
      <c r="Q52" s="49">
        <f t="shared" si="15"/>
        <v>1231.5</v>
      </c>
      <c r="R52" s="49">
        <f t="shared" si="16"/>
        <v>0</v>
      </c>
      <c r="S52" s="49">
        <f t="shared" si="0"/>
        <v>0</v>
      </c>
    </row>
    <row r="53" spans="1:19" s="61" customFormat="1" ht="15.75" customHeight="1">
      <c r="A53" s="168" t="s">
        <v>196</v>
      </c>
      <c r="B53" s="264" t="s">
        <v>125</v>
      </c>
      <c r="C53" s="265" t="s">
        <v>197</v>
      </c>
      <c r="D53" s="271">
        <v>668.62</v>
      </c>
      <c r="E53" s="267">
        <v>6.1</v>
      </c>
      <c r="F53" s="267">
        <v>668.62</v>
      </c>
      <c r="G53" s="267">
        <v>273.73</v>
      </c>
      <c r="H53" s="267">
        <v>8.1999999999999993</v>
      </c>
      <c r="I53" s="267">
        <f t="shared" si="13"/>
        <v>950.55000000000007</v>
      </c>
      <c r="J53" s="267">
        <v>18.079999999999998</v>
      </c>
      <c r="K53" s="268">
        <v>968.67000000000007</v>
      </c>
      <c r="L53" s="267">
        <v>193.73400000000004</v>
      </c>
      <c r="M53" s="269">
        <v>1162.4000000000001</v>
      </c>
      <c r="N53" s="272">
        <f>968.67+K66</f>
        <v>1215.17</v>
      </c>
      <c r="O53" s="272">
        <f>1162.4+M66</f>
        <v>1458.2</v>
      </c>
      <c r="P53" s="49">
        <f t="shared" si="14"/>
        <v>1215.17</v>
      </c>
      <c r="Q53" s="49">
        <f t="shared" si="15"/>
        <v>1458.2</v>
      </c>
      <c r="R53" s="49">
        <f t="shared" si="16"/>
        <v>0</v>
      </c>
      <c r="S53" s="49">
        <f t="shared" si="0"/>
        <v>0</v>
      </c>
    </row>
    <row r="54" spans="1:19" s="61" customFormat="1" ht="15.75" customHeight="1">
      <c r="A54" s="168" t="s">
        <v>198</v>
      </c>
      <c r="B54" s="264" t="s">
        <v>137</v>
      </c>
      <c r="C54" s="265" t="s">
        <v>199</v>
      </c>
      <c r="D54" s="271">
        <v>710.27</v>
      </c>
      <c r="E54" s="267">
        <v>6.48</v>
      </c>
      <c r="F54" s="267">
        <v>710.27</v>
      </c>
      <c r="G54" s="267">
        <v>290.77999999999997</v>
      </c>
      <c r="H54" s="267">
        <v>8.7200000000000006</v>
      </c>
      <c r="I54" s="267">
        <f t="shared" si="13"/>
        <v>1009.77</v>
      </c>
      <c r="J54" s="267">
        <v>19.21</v>
      </c>
      <c r="K54" s="268">
        <v>1029</v>
      </c>
      <c r="L54" s="267">
        <v>205.8</v>
      </c>
      <c r="M54" s="269">
        <v>1234.8</v>
      </c>
      <c r="N54" s="272">
        <f>1029+K66</f>
        <v>1275.5</v>
      </c>
      <c r="O54" s="272">
        <f>1234.8+M66</f>
        <v>1530.6</v>
      </c>
      <c r="P54" s="49">
        <f t="shared" si="14"/>
        <v>1275.5</v>
      </c>
      <c r="Q54" s="49">
        <f t="shared" si="15"/>
        <v>1530.6</v>
      </c>
      <c r="R54" s="49">
        <f t="shared" si="16"/>
        <v>0</v>
      </c>
      <c r="S54" s="49">
        <f t="shared" si="0"/>
        <v>0</v>
      </c>
    </row>
    <row r="55" spans="1:19" s="61" customFormat="1" ht="15.75" customHeight="1">
      <c r="A55" s="168" t="s">
        <v>200</v>
      </c>
      <c r="B55" s="264" t="s">
        <v>140</v>
      </c>
      <c r="C55" s="265" t="s">
        <v>201</v>
      </c>
      <c r="D55" s="271">
        <v>872.5</v>
      </c>
      <c r="E55" s="267">
        <v>7.96</v>
      </c>
      <c r="F55" s="267">
        <v>872.5</v>
      </c>
      <c r="G55" s="267">
        <v>357.21</v>
      </c>
      <c r="H55" s="267">
        <v>10.71</v>
      </c>
      <c r="I55" s="267">
        <f t="shared" si="13"/>
        <v>1240.42</v>
      </c>
      <c r="J55" s="267">
        <v>23.6</v>
      </c>
      <c r="K55" s="268">
        <v>1264.0800000000002</v>
      </c>
      <c r="L55" s="267">
        <v>252.81600000000003</v>
      </c>
      <c r="M55" s="269">
        <v>1516.8999999999999</v>
      </c>
      <c r="N55" s="272">
        <f>1264.08+K66</f>
        <v>1510.58</v>
      </c>
      <c r="O55" s="272">
        <f>1516.9+M66</f>
        <v>1812.7</v>
      </c>
      <c r="P55" s="49">
        <f t="shared" si="14"/>
        <v>1510.5800000000002</v>
      </c>
      <c r="Q55" s="49">
        <f t="shared" si="15"/>
        <v>1812.6999999999998</v>
      </c>
      <c r="R55" s="49">
        <f t="shared" si="16"/>
        <v>0</v>
      </c>
      <c r="S55" s="49">
        <f t="shared" si="0"/>
        <v>0</v>
      </c>
    </row>
    <row r="56" spans="1:19" s="62" customFormat="1" ht="15.75" customHeight="1">
      <c r="A56" s="168" t="s">
        <v>202</v>
      </c>
      <c r="B56" s="264" t="s">
        <v>143</v>
      </c>
      <c r="C56" s="265" t="s">
        <v>203</v>
      </c>
      <c r="D56" s="271">
        <v>1099.3900000000001</v>
      </c>
      <c r="E56" s="267">
        <v>10.029999999999999</v>
      </c>
      <c r="F56" s="267">
        <v>1099.3900000000001</v>
      </c>
      <c r="G56" s="267">
        <v>450.11</v>
      </c>
      <c r="H56" s="267">
        <v>13.49</v>
      </c>
      <c r="I56" s="267">
        <f t="shared" si="13"/>
        <v>1562.99</v>
      </c>
      <c r="J56" s="267">
        <v>29.73</v>
      </c>
      <c r="K56" s="268">
        <v>1592.75</v>
      </c>
      <c r="L56" s="267">
        <v>318.55</v>
      </c>
      <c r="M56" s="269">
        <v>1911.3</v>
      </c>
      <c r="N56" s="272">
        <f>1592.75+K66</f>
        <v>1839.25</v>
      </c>
      <c r="O56" s="272">
        <f>1911.3+M66</f>
        <v>2207.1</v>
      </c>
      <c r="P56" s="49">
        <f t="shared" si="14"/>
        <v>1839.25</v>
      </c>
      <c r="Q56" s="49">
        <f t="shared" si="15"/>
        <v>2207.1</v>
      </c>
      <c r="R56" s="49">
        <f t="shared" si="16"/>
        <v>0</v>
      </c>
      <c r="S56" s="49">
        <f t="shared" si="0"/>
        <v>0</v>
      </c>
    </row>
    <row r="57" spans="1:19" s="62" customFormat="1" ht="15.75" customHeight="1">
      <c r="A57" s="168" t="s">
        <v>204</v>
      </c>
      <c r="B57" s="264" t="s">
        <v>205</v>
      </c>
      <c r="C57" s="265" t="s">
        <v>206</v>
      </c>
      <c r="D57" s="271">
        <v>1242.98</v>
      </c>
      <c r="E57" s="267">
        <v>11.34</v>
      </c>
      <c r="F57" s="267">
        <v>1242.98</v>
      </c>
      <c r="G57" s="267">
        <v>508.88</v>
      </c>
      <c r="H57" s="267">
        <v>15.26</v>
      </c>
      <c r="I57" s="267">
        <f t="shared" si="13"/>
        <v>1767.1200000000001</v>
      </c>
      <c r="J57" s="267">
        <v>33.630000000000003</v>
      </c>
      <c r="K57" s="268">
        <v>1800.7500000000002</v>
      </c>
      <c r="L57" s="267">
        <v>360.15000000000009</v>
      </c>
      <c r="M57" s="269">
        <v>2160.9</v>
      </c>
      <c r="N57" s="272">
        <f>1800.75+K66</f>
        <v>2047.25</v>
      </c>
      <c r="O57" s="272">
        <f>2160.9+M66</f>
        <v>2456.7000000000003</v>
      </c>
      <c r="P57" s="49">
        <f t="shared" si="14"/>
        <v>2047.2500000000002</v>
      </c>
      <c r="Q57" s="49">
        <f t="shared" si="15"/>
        <v>2456.7000000000003</v>
      </c>
      <c r="R57" s="49">
        <f t="shared" si="16"/>
        <v>0</v>
      </c>
      <c r="S57" s="49">
        <f t="shared" si="0"/>
        <v>0</v>
      </c>
    </row>
    <row r="58" spans="1:19" ht="15.75" customHeight="1">
      <c r="A58" s="168" t="s">
        <v>207</v>
      </c>
      <c r="B58" s="264" t="s">
        <v>208</v>
      </c>
      <c r="C58" s="265" t="s">
        <v>209</v>
      </c>
      <c r="D58" s="271">
        <v>1405.2</v>
      </c>
      <c r="E58" s="267">
        <v>12.82</v>
      </c>
      <c r="F58" s="267">
        <v>1405.2</v>
      </c>
      <c r="G58" s="267">
        <v>575.30999999999995</v>
      </c>
      <c r="H58" s="267">
        <v>17.260000000000002</v>
      </c>
      <c r="I58" s="267">
        <f t="shared" si="13"/>
        <v>1997.77</v>
      </c>
      <c r="J58" s="267">
        <v>38.020000000000003</v>
      </c>
      <c r="K58" s="268">
        <v>2035.83</v>
      </c>
      <c r="L58" s="267">
        <v>407.166</v>
      </c>
      <c r="M58" s="269">
        <v>2443</v>
      </c>
      <c r="N58" s="272">
        <f>2035.83+K66</f>
        <v>2282.33</v>
      </c>
      <c r="O58" s="272">
        <f>2443+M66</f>
        <v>2738.8</v>
      </c>
      <c r="P58" s="49">
        <f t="shared" si="14"/>
        <v>2282.33</v>
      </c>
      <c r="Q58" s="49">
        <f t="shared" si="15"/>
        <v>2738.8</v>
      </c>
      <c r="R58" s="49">
        <f t="shared" si="16"/>
        <v>0</v>
      </c>
      <c r="S58" s="49">
        <f t="shared" si="0"/>
        <v>0</v>
      </c>
    </row>
    <row r="59" spans="1:19" ht="15.75" customHeight="1">
      <c r="A59" s="168" t="s">
        <v>210</v>
      </c>
      <c r="B59" s="264" t="s">
        <v>211</v>
      </c>
      <c r="C59" s="265" t="s">
        <v>212</v>
      </c>
      <c r="D59" s="271">
        <v>1811.85</v>
      </c>
      <c r="E59" s="267">
        <v>16.53</v>
      </c>
      <c r="F59" s="267">
        <v>1811.85</v>
      </c>
      <c r="G59" s="267">
        <v>741.77</v>
      </c>
      <c r="H59" s="267">
        <v>22.24</v>
      </c>
      <c r="I59" s="267">
        <f t="shared" si="13"/>
        <v>2575.8599999999997</v>
      </c>
      <c r="J59" s="267">
        <v>49</v>
      </c>
      <c r="K59" s="268">
        <v>2624.9199999999996</v>
      </c>
      <c r="L59" s="267">
        <v>524.98399999999992</v>
      </c>
      <c r="M59" s="269">
        <v>3149.9</v>
      </c>
      <c r="N59" s="272">
        <f>2624.92+K66</f>
        <v>2871.42</v>
      </c>
      <c r="O59" s="272">
        <f>3149.9+M66</f>
        <v>3445.7000000000003</v>
      </c>
      <c r="P59" s="49">
        <f t="shared" si="14"/>
        <v>2871.4199999999996</v>
      </c>
      <c r="Q59" s="49">
        <f t="shared" si="15"/>
        <v>3445.7000000000003</v>
      </c>
      <c r="R59" s="49">
        <f t="shared" si="16"/>
        <v>0</v>
      </c>
      <c r="S59" s="49">
        <f t="shared" si="0"/>
        <v>0</v>
      </c>
    </row>
    <row r="60" spans="1:19" ht="15.75" customHeight="1">
      <c r="A60" s="168" t="s">
        <v>213</v>
      </c>
      <c r="B60" s="264" t="s">
        <v>214</v>
      </c>
      <c r="C60" s="265" t="s">
        <v>215</v>
      </c>
      <c r="D60" s="271">
        <v>1914.89</v>
      </c>
      <c r="E60" s="267">
        <v>17.47</v>
      </c>
      <c r="F60" s="267">
        <v>1914.89</v>
      </c>
      <c r="G60" s="267">
        <v>783.98</v>
      </c>
      <c r="H60" s="267">
        <v>23.51</v>
      </c>
      <c r="I60" s="267">
        <f t="shared" si="13"/>
        <v>2722.38</v>
      </c>
      <c r="J60" s="267">
        <v>51.79</v>
      </c>
      <c r="K60" s="268">
        <v>2774.17</v>
      </c>
      <c r="L60" s="267">
        <v>554.83400000000006</v>
      </c>
      <c r="M60" s="269">
        <v>3329</v>
      </c>
      <c r="N60" s="272">
        <f>2774.17+K66</f>
        <v>3020.67</v>
      </c>
      <c r="O60" s="272">
        <f>3329+M66</f>
        <v>3624.8</v>
      </c>
      <c r="P60" s="49">
        <f t="shared" si="14"/>
        <v>3020.67</v>
      </c>
      <c r="Q60" s="49">
        <f t="shared" si="15"/>
        <v>3624.8</v>
      </c>
      <c r="R60" s="49">
        <f t="shared" si="16"/>
        <v>0</v>
      </c>
      <c r="S60" s="49">
        <f t="shared" si="0"/>
        <v>0</v>
      </c>
    </row>
    <row r="61" spans="1:19" ht="15.75" customHeight="1">
      <c r="A61" s="168" t="s">
        <v>216</v>
      </c>
      <c r="B61" s="264" t="s">
        <v>217</v>
      </c>
      <c r="C61" s="265" t="s">
        <v>218</v>
      </c>
      <c r="D61" s="271">
        <v>2044.23</v>
      </c>
      <c r="E61" s="267">
        <v>18.649999999999999</v>
      </c>
      <c r="F61" s="267">
        <v>2044.23</v>
      </c>
      <c r="G61" s="267">
        <v>836.91</v>
      </c>
      <c r="H61" s="267">
        <v>25.09</v>
      </c>
      <c r="I61" s="267">
        <f t="shared" si="13"/>
        <v>2906.23</v>
      </c>
      <c r="J61" s="267">
        <v>55.28</v>
      </c>
      <c r="K61" s="268">
        <v>2961.58</v>
      </c>
      <c r="L61" s="267">
        <v>592.31600000000003</v>
      </c>
      <c r="M61" s="269">
        <v>3553.9</v>
      </c>
      <c r="N61" s="272">
        <f>2961.58+K66</f>
        <v>3208.08</v>
      </c>
      <c r="O61" s="272">
        <f>3553.9+M66</f>
        <v>3849.7000000000003</v>
      </c>
      <c r="P61" s="49">
        <f t="shared" si="14"/>
        <v>3208.08</v>
      </c>
      <c r="Q61" s="49">
        <f t="shared" si="15"/>
        <v>3849.7000000000003</v>
      </c>
      <c r="R61" s="49">
        <f t="shared" si="16"/>
        <v>0</v>
      </c>
      <c r="S61" s="49">
        <f t="shared" si="0"/>
        <v>0</v>
      </c>
    </row>
    <row r="62" spans="1:19" ht="15.75" customHeight="1">
      <c r="A62" s="168" t="s">
        <v>219</v>
      </c>
      <c r="B62" s="169" t="s">
        <v>306</v>
      </c>
      <c r="C62" s="170"/>
      <c r="D62" s="172"/>
      <c r="E62" s="162"/>
      <c r="F62" s="162"/>
      <c r="G62" s="162"/>
      <c r="H62" s="162"/>
      <c r="I62" s="163"/>
      <c r="J62" s="162"/>
      <c r="K62" s="164"/>
      <c r="L62" s="163"/>
      <c r="M62" s="165"/>
      <c r="R62" s="49"/>
    </row>
    <row r="63" spans="1:19" ht="15.75" customHeight="1">
      <c r="A63" s="168" t="s">
        <v>43</v>
      </c>
      <c r="B63" s="169" t="s">
        <v>191</v>
      </c>
      <c r="C63" s="170" t="s">
        <v>221</v>
      </c>
      <c r="D63" s="171">
        <v>241.48</v>
      </c>
      <c r="E63" s="162">
        <v>2.69</v>
      </c>
      <c r="F63" s="163">
        <v>241.48</v>
      </c>
      <c r="G63" s="162">
        <v>115.11</v>
      </c>
      <c r="H63" s="162">
        <v>3.65</v>
      </c>
      <c r="I63" s="163">
        <f>F63+G63+H63</f>
        <v>360.23999999999995</v>
      </c>
      <c r="J63" s="162">
        <v>8.0500000000000007</v>
      </c>
      <c r="K63" s="164">
        <v>368.32999999999993</v>
      </c>
      <c r="L63" s="163">
        <v>73.665999999999983</v>
      </c>
      <c r="M63" s="165">
        <v>442</v>
      </c>
      <c r="R63" s="49"/>
    </row>
    <row r="64" spans="1:19" ht="15.75" customHeight="1">
      <c r="A64" s="168" t="s">
        <v>45</v>
      </c>
      <c r="B64" s="169" t="s">
        <v>107</v>
      </c>
      <c r="C64" s="170" t="s">
        <v>222</v>
      </c>
      <c r="D64" s="171">
        <v>433.59</v>
      </c>
      <c r="E64" s="162">
        <v>4.83</v>
      </c>
      <c r="F64" s="163">
        <v>433.59</v>
      </c>
      <c r="G64" s="162">
        <v>206.67</v>
      </c>
      <c r="H64" s="162">
        <v>6.57</v>
      </c>
      <c r="I64" s="163">
        <f>F64+G64+H64</f>
        <v>646.83000000000004</v>
      </c>
      <c r="J64" s="162">
        <v>14.47</v>
      </c>
      <c r="K64" s="164">
        <v>661.33</v>
      </c>
      <c r="L64" s="163">
        <v>132.26600000000002</v>
      </c>
      <c r="M64" s="165">
        <v>793.6</v>
      </c>
      <c r="R64" s="49"/>
    </row>
    <row r="65" spans="1:18" ht="15.75" customHeight="1">
      <c r="A65" s="168" t="s">
        <v>223</v>
      </c>
      <c r="B65" s="169" t="s">
        <v>224</v>
      </c>
      <c r="C65" s="170" t="s">
        <v>225</v>
      </c>
      <c r="D65" s="171">
        <v>93.36</v>
      </c>
      <c r="E65" s="162">
        <v>1.04</v>
      </c>
      <c r="F65" s="163">
        <v>93.36</v>
      </c>
      <c r="G65" s="162">
        <v>44.5</v>
      </c>
      <c r="H65" s="162">
        <v>1.41</v>
      </c>
      <c r="I65" s="163">
        <f>F65+G65+H65</f>
        <v>139.27000000000001</v>
      </c>
      <c r="J65" s="162">
        <v>3.12</v>
      </c>
      <c r="K65" s="164">
        <v>142.42000000000002</v>
      </c>
      <c r="L65" s="163">
        <v>28.484000000000005</v>
      </c>
      <c r="M65" s="165">
        <v>170.9</v>
      </c>
      <c r="R65" s="49"/>
    </row>
    <row r="66" spans="1:18" ht="15.75" customHeight="1" thickBot="1">
      <c r="A66" s="174" t="s">
        <v>49</v>
      </c>
      <c r="B66" s="175" t="s">
        <v>226</v>
      </c>
      <c r="C66" s="176" t="s">
        <v>227</v>
      </c>
      <c r="D66" s="177">
        <v>161.59</v>
      </c>
      <c r="E66" s="178">
        <v>1.8</v>
      </c>
      <c r="F66" s="179">
        <v>161.59</v>
      </c>
      <c r="G66" s="178">
        <v>77.03</v>
      </c>
      <c r="H66" s="178">
        <v>2.4500000000000002</v>
      </c>
      <c r="I66" s="179">
        <f>F66+G66+H66</f>
        <v>241.07</v>
      </c>
      <c r="J66" s="178">
        <v>5.39</v>
      </c>
      <c r="K66" s="180">
        <v>246.5</v>
      </c>
      <c r="L66" s="179">
        <v>49.300000000000004</v>
      </c>
      <c r="M66" s="181">
        <v>295.8</v>
      </c>
      <c r="R66" s="49"/>
    </row>
    <row r="67" spans="1:18" ht="15">
      <c r="A67" s="121"/>
      <c r="B67" s="122"/>
      <c r="C67" s="123"/>
      <c r="D67" s="122"/>
      <c r="E67" s="122"/>
      <c r="F67" s="122"/>
      <c r="G67" s="122"/>
      <c r="H67" s="122"/>
      <c r="I67" s="122"/>
      <c r="J67" s="122"/>
      <c r="K67" s="122"/>
      <c r="L67" s="122"/>
      <c r="M67" s="122"/>
      <c r="R67" s="49"/>
    </row>
    <row r="68" spans="1:18" ht="15">
      <c r="A68" s="121"/>
      <c r="B68" s="122"/>
      <c r="C68" s="123"/>
      <c r="D68" s="122"/>
      <c r="E68" s="122"/>
      <c r="F68" s="122"/>
      <c r="G68" s="122"/>
      <c r="H68" s="122"/>
      <c r="I68" s="122"/>
      <c r="J68" s="122"/>
      <c r="K68" s="122"/>
      <c r="L68" s="122"/>
      <c r="M68" s="122"/>
      <c r="R68" s="49"/>
    </row>
    <row r="69" spans="1:18" ht="17.45">
      <c r="A69" s="182"/>
      <c r="B69" s="125" t="s">
        <v>307</v>
      </c>
      <c r="C69" s="123"/>
      <c r="D69" s="122"/>
      <c r="E69" s="122"/>
      <c r="F69" s="122"/>
      <c r="G69" s="122"/>
      <c r="H69" s="122"/>
      <c r="I69" s="122"/>
      <c r="J69" s="183" t="s">
        <v>315</v>
      </c>
      <c r="K69" s="184"/>
      <c r="L69" s="185"/>
      <c r="M69" s="186"/>
      <c r="R69" s="49"/>
    </row>
    <row r="70" spans="1:18" ht="15.6">
      <c r="A70" s="182"/>
      <c r="B70" s="122"/>
      <c r="C70" s="123"/>
      <c r="D70" s="122"/>
      <c r="E70" s="122"/>
      <c r="F70" s="122"/>
      <c r="G70" s="122"/>
      <c r="H70" s="122"/>
      <c r="I70" s="122"/>
      <c r="J70" s="122"/>
      <c r="K70" s="184"/>
      <c r="L70" s="185"/>
      <c r="M70" s="186"/>
      <c r="R70" s="49"/>
    </row>
    <row r="71" spans="1:18" ht="17.45">
      <c r="A71" s="187"/>
      <c r="B71" s="125" t="s">
        <v>309</v>
      </c>
      <c r="C71" s="142"/>
      <c r="D71" s="142"/>
      <c r="E71" s="142"/>
      <c r="F71" s="142"/>
      <c r="G71" s="142"/>
      <c r="H71" s="142"/>
      <c r="I71" s="142"/>
      <c r="J71" s="183" t="str">
        <f>'[5]МР1 Видача ТУ'!K21</f>
        <v>Г. В. Улько</v>
      </c>
      <c r="K71" s="188"/>
      <c r="L71" s="188"/>
      <c r="M71" s="188"/>
      <c r="R71" s="49"/>
    </row>
    <row r="72" spans="1:18" ht="17.45">
      <c r="A72" s="121"/>
      <c r="B72" s="125"/>
      <c r="C72" s="142"/>
      <c r="D72" s="142"/>
      <c r="E72" s="142"/>
      <c r="F72" s="142"/>
      <c r="G72" s="142"/>
      <c r="H72" s="142"/>
      <c r="I72" s="142"/>
      <c r="J72" s="189"/>
      <c r="K72" s="188"/>
      <c r="L72" s="188"/>
      <c r="M72" s="188"/>
      <c r="R72" s="49"/>
    </row>
    <row r="73" spans="1:18" ht="15">
      <c r="A73" s="121"/>
      <c r="B73" s="190"/>
      <c r="C73" s="191"/>
      <c r="D73" s="192"/>
      <c r="E73" s="192"/>
      <c r="F73" s="193"/>
      <c r="G73" s="188"/>
      <c r="H73" s="188"/>
      <c r="I73" s="188"/>
      <c r="J73" s="188"/>
      <c r="K73" s="194"/>
      <c r="L73" s="194"/>
      <c r="M73" s="194"/>
      <c r="R73" s="49"/>
    </row>
    <row r="74" spans="1:18" ht="15">
      <c r="B74" s="195" t="s">
        <v>316</v>
      </c>
      <c r="C74" s="191"/>
      <c r="D74" s="196"/>
      <c r="E74" s="196"/>
      <c r="F74" s="193"/>
      <c r="G74" s="188"/>
      <c r="H74" s="188"/>
      <c r="I74" s="188"/>
      <c r="J74" s="188"/>
      <c r="K74" s="83"/>
      <c r="L74" s="83"/>
      <c r="M74" s="83"/>
      <c r="R74" s="49"/>
    </row>
    <row r="75" spans="1:18">
      <c r="B75" s="195" t="s">
        <v>317</v>
      </c>
      <c r="C75" s="197"/>
      <c r="D75" s="198"/>
      <c r="E75" s="198"/>
      <c r="F75" s="199"/>
      <c r="G75" s="194"/>
      <c r="H75" s="194"/>
      <c r="I75" s="194"/>
      <c r="J75" s="194"/>
      <c r="K75" s="48"/>
      <c r="L75" s="48"/>
      <c r="M75" s="48"/>
    </row>
    <row r="76" spans="1:18">
      <c r="B76" s="85"/>
      <c r="C76" s="86"/>
      <c r="D76" s="85"/>
      <c r="E76" s="85"/>
      <c r="F76" s="87"/>
      <c r="G76" s="48"/>
      <c r="H76" s="48"/>
      <c r="I76" s="48"/>
      <c r="J76" s="48"/>
      <c r="K76" s="48"/>
      <c r="L76" s="48"/>
      <c r="M76" s="48"/>
    </row>
  </sheetData>
  <autoFilter ref="A11:R66" xr:uid="{00000000-0009-0000-0000-00000A000000}"/>
  <mergeCells count="4">
    <mergeCell ref="L5:M5"/>
    <mergeCell ref="A7:M7"/>
    <mergeCell ref="A8:M8"/>
    <mergeCell ref="A10:B10"/>
  </mergeCells>
  <pageMargins left="0.70866141732283472" right="0.70866141732283472" top="0.74803149606299213" bottom="0.74803149606299213" header="0.31496062992125984" footer="0.31496062992125984"/>
  <pageSetup paperSize="9" scale="6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6"/>
  <sheetViews>
    <sheetView workbookViewId="0">
      <pane xSplit="2" ySplit="10" topLeftCell="C53" activePane="bottomRight" state="frozen"/>
      <selection pane="bottomRight" activeCell="M13" sqref="M13:M16"/>
      <selection pane="bottomLeft" activeCell="A11" sqref="A11"/>
      <selection pane="topRight" activeCell="C1" sqref="C1"/>
    </sheetView>
  </sheetViews>
  <sheetFormatPr defaultRowHeight="15"/>
  <cols>
    <col min="1" max="1" width="8.85546875" style="73" customWidth="1"/>
    <col min="2" max="2" width="59" customWidth="1"/>
    <col min="3" max="3" width="14.140625" style="88" customWidth="1"/>
    <col min="4" max="4" width="11.5703125" hidden="1" customWidth="1"/>
    <col min="5" max="5" width="15.85546875" hidden="1" customWidth="1"/>
    <col min="6" max="6" width="14.5703125" hidden="1" customWidth="1"/>
    <col min="7" max="7" width="15" hidden="1" customWidth="1"/>
    <col min="8" max="8" width="20" hidden="1" customWidth="1"/>
    <col min="9" max="9" width="16.140625" style="350" hidden="1" customWidth="1"/>
    <col min="10" max="10" width="19.7109375" hidden="1" customWidth="1"/>
    <col min="11" max="11" width="22.5703125" style="350" customWidth="1"/>
    <col min="12" max="12" width="12.5703125" style="350" customWidth="1"/>
    <col min="13" max="13" width="21.140625" style="350" customWidth="1"/>
    <col min="14" max="14" width="9.140625" style="305"/>
  </cols>
  <sheetData>
    <row r="1" spans="1:17">
      <c r="A1" s="121"/>
      <c r="B1" s="122"/>
      <c r="C1" s="123"/>
      <c r="D1" s="122"/>
      <c r="E1" s="122"/>
      <c r="F1" s="122"/>
      <c r="G1" s="122"/>
      <c r="H1" s="122"/>
      <c r="I1" s="304"/>
      <c r="J1" s="273" t="str">
        <f>'[3]МР1 ТУ'!K1</f>
        <v>Додаток № ___ до наказу № ________________________  від _____ 2021р.</v>
      </c>
      <c r="K1" s="304"/>
      <c r="L1" s="304"/>
      <c r="M1" s="304"/>
    </row>
    <row r="2" spans="1:17">
      <c r="A2" s="121"/>
      <c r="B2" s="122"/>
      <c r="C2" s="123"/>
      <c r="D2" s="122"/>
      <c r="E2" s="122"/>
      <c r="F2" s="122"/>
      <c r="G2" s="122"/>
      <c r="H2" s="122"/>
      <c r="I2" s="304"/>
      <c r="J2" s="122"/>
      <c r="K2" s="304"/>
      <c r="L2" s="304"/>
      <c r="M2" s="304"/>
    </row>
    <row r="3" spans="1:17" ht="19.5" customHeight="1">
      <c r="A3" s="125" t="str">
        <f>'[4]МР1 Видача ТУ'!A3:B3</f>
        <v>ПОГОДЖЕНО</v>
      </c>
      <c r="B3" s="125"/>
      <c r="C3" s="126"/>
      <c r="D3" s="127"/>
      <c r="E3" s="127"/>
      <c r="F3" s="128"/>
      <c r="G3" s="129"/>
      <c r="H3" s="129"/>
      <c r="I3" s="306"/>
      <c r="J3" s="125" t="s">
        <v>296</v>
      </c>
      <c r="K3" s="307"/>
      <c r="L3" s="307"/>
      <c r="M3" s="307"/>
    </row>
    <row r="4" spans="1:17" s="11" customFormat="1" ht="21" customHeight="1">
      <c r="A4" s="125" t="str">
        <f>'[4]МР1 Видача ТУ'!A4:B4</f>
        <v>Директор фінансовий</v>
      </c>
      <c r="B4" s="125"/>
      <c r="C4" s="130"/>
      <c r="D4" s="132"/>
      <c r="E4" s="132"/>
      <c r="F4" s="133"/>
      <c r="G4" s="134"/>
      <c r="H4" s="134"/>
      <c r="I4" s="308"/>
      <c r="J4" s="125" t="s">
        <v>297</v>
      </c>
      <c r="K4" s="307"/>
      <c r="L4" s="307"/>
      <c r="M4" s="307"/>
      <c r="N4" s="309"/>
    </row>
    <row r="5" spans="1:17" s="11" customFormat="1" ht="18" customHeight="1">
      <c r="A5" s="673" t="str">
        <f>'[3]МР1 ТУ'!A5:B5</f>
        <v xml:space="preserve">                      А. В. Шаповалов</v>
      </c>
      <c r="B5" s="673"/>
      <c r="C5" s="137"/>
      <c r="D5" s="132"/>
      <c r="E5" s="132"/>
      <c r="F5" s="133"/>
      <c r="G5" s="134"/>
      <c r="H5" s="134"/>
      <c r="I5" s="310"/>
      <c r="J5" s="130"/>
      <c r="K5" s="307"/>
      <c r="L5" s="686" t="s">
        <v>298</v>
      </c>
      <c r="M5" s="686"/>
      <c r="N5" s="309"/>
    </row>
    <row r="6" spans="1:17" s="11" customFormat="1" ht="27" customHeight="1">
      <c r="A6" s="138"/>
      <c r="B6" s="138"/>
      <c r="C6" s="139"/>
      <c r="D6" s="140"/>
      <c r="E6" s="140"/>
      <c r="F6" s="122"/>
      <c r="G6" s="141"/>
      <c r="H6" s="141"/>
      <c r="I6" s="311"/>
      <c r="J6" s="139"/>
      <c r="K6" s="311"/>
      <c r="L6" s="311"/>
      <c r="M6" s="311"/>
      <c r="N6" s="309"/>
    </row>
    <row r="7" spans="1:17" s="11" customFormat="1" ht="19.5" customHeight="1">
      <c r="A7" s="675" t="s">
        <v>79</v>
      </c>
      <c r="B7" s="675"/>
      <c r="C7" s="675"/>
      <c r="D7" s="675"/>
      <c r="E7" s="675"/>
      <c r="F7" s="675"/>
      <c r="G7" s="675"/>
      <c r="H7" s="675"/>
      <c r="I7" s="675"/>
      <c r="J7" s="675"/>
      <c r="K7" s="675"/>
      <c r="L7" s="675"/>
      <c r="M7" s="675"/>
      <c r="N7" s="309"/>
    </row>
    <row r="8" spans="1:17" s="11" customFormat="1" ht="42.75" customHeight="1">
      <c r="A8" s="673" t="s">
        <v>299</v>
      </c>
      <c r="B8" s="673"/>
      <c r="C8" s="673"/>
      <c r="D8" s="673"/>
      <c r="E8" s="673"/>
      <c r="F8" s="673"/>
      <c r="G8" s="673"/>
      <c r="H8" s="673"/>
      <c r="I8" s="673"/>
      <c r="J8" s="673"/>
      <c r="K8" s="673"/>
      <c r="L8" s="673"/>
      <c r="M8" s="673"/>
      <c r="N8" s="309"/>
    </row>
    <row r="9" spans="1:17" s="11" customFormat="1" ht="17.25" customHeight="1">
      <c r="A9" s="131"/>
      <c r="B9" s="131"/>
      <c r="C9" s="131"/>
      <c r="D9" s="131"/>
      <c r="E9" s="131"/>
      <c r="F9" s="131"/>
      <c r="G9" s="131"/>
      <c r="H9" s="131"/>
      <c r="I9" s="312"/>
      <c r="J9" s="131"/>
      <c r="K9" s="312"/>
      <c r="L9" s="312"/>
      <c r="M9" s="312"/>
      <c r="N9" s="309"/>
    </row>
    <row r="10" spans="1:17" s="320" customFormat="1" ht="15.75" customHeight="1" thickBot="1">
      <c r="A10" s="674" t="str">
        <f>'[3]МР1 ТУ'!A10</f>
        <v>Вводиться в дію з "01" серпня 2021р.</v>
      </c>
      <c r="B10" s="674"/>
      <c r="C10" s="313"/>
      <c r="D10" s="314"/>
      <c r="E10" s="314"/>
      <c r="F10" s="315"/>
      <c r="G10" s="315"/>
      <c r="H10" s="315"/>
      <c r="I10" s="316"/>
      <c r="J10" s="315"/>
      <c r="K10" s="317"/>
      <c r="L10" s="318"/>
      <c r="M10" s="319" t="s">
        <v>81</v>
      </c>
      <c r="N10" s="309"/>
    </row>
    <row r="11" spans="1:17" ht="59.25" customHeight="1" thickBot="1">
      <c r="A11" s="274" t="s">
        <v>82</v>
      </c>
      <c r="B11" s="275" t="s">
        <v>83</v>
      </c>
      <c r="C11" s="276" t="s">
        <v>84</v>
      </c>
      <c r="D11" s="277" t="s">
        <v>300</v>
      </c>
      <c r="E11" s="278" t="s">
        <v>85</v>
      </c>
      <c r="F11" s="277" t="s">
        <v>235</v>
      </c>
      <c r="G11" s="277" t="s">
        <v>87</v>
      </c>
      <c r="H11" s="277" t="s">
        <v>88</v>
      </c>
      <c r="I11" s="321" t="s">
        <v>89</v>
      </c>
      <c r="J11" s="277" t="s">
        <v>90</v>
      </c>
      <c r="K11" s="322" t="s">
        <v>91</v>
      </c>
      <c r="L11" s="322" t="s">
        <v>92</v>
      </c>
      <c r="M11" s="323" t="s">
        <v>93</v>
      </c>
    </row>
    <row r="12" spans="1:17" ht="27" customHeight="1">
      <c r="A12" s="153" t="s">
        <v>94</v>
      </c>
      <c r="B12" s="154" t="s">
        <v>301</v>
      </c>
      <c r="C12" s="155"/>
      <c r="D12" s="156"/>
      <c r="E12" s="156"/>
      <c r="F12" s="156"/>
      <c r="G12" s="156"/>
      <c r="H12" s="156"/>
      <c r="I12" s="324"/>
      <c r="J12" s="156"/>
      <c r="K12" s="325"/>
      <c r="L12" s="325"/>
      <c r="M12" s="326"/>
    </row>
    <row r="13" spans="1:17" ht="18" customHeight="1">
      <c r="A13" s="159" t="s">
        <v>97</v>
      </c>
      <c r="B13" s="160" t="s">
        <v>98</v>
      </c>
      <c r="C13" s="161" t="s">
        <v>99</v>
      </c>
      <c r="D13" s="220">
        <v>1175.9000000000001</v>
      </c>
      <c r="E13" s="327">
        <v>10.73</v>
      </c>
      <c r="F13" s="328">
        <v>1181.47</v>
      </c>
      <c r="G13" s="328">
        <v>259.92</v>
      </c>
      <c r="H13" s="328">
        <v>17.170000000000002</v>
      </c>
      <c r="I13" s="328">
        <f>F13+G13+H13</f>
        <v>1458.5600000000002</v>
      </c>
      <c r="J13" s="328">
        <f>172.75+0.02</f>
        <v>172.77</v>
      </c>
      <c r="K13" s="329">
        <f>I13+J13</f>
        <v>1631.3300000000002</v>
      </c>
      <c r="L13" s="328">
        <f>K13*0.2</f>
        <v>326.26600000000008</v>
      </c>
      <c r="M13" s="330">
        <f>ROUNDUP(SUM(K13,L13),1)</f>
        <v>1957.6</v>
      </c>
      <c r="Q13" s="49"/>
    </row>
    <row r="14" spans="1:17" ht="18" customHeight="1">
      <c r="A14" s="159" t="s">
        <v>100</v>
      </c>
      <c r="B14" s="160" t="s">
        <v>101</v>
      </c>
      <c r="C14" s="161" t="s">
        <v>102</v>
      </c>
      <c r="D14" s="220">
        <v>1276.96</v>
      </c>
      <c r="E14" s="327">
        <v>11.65</v>
      </c>
      <c r="F14" s="328">
        <v>1283.01</v>
      </c>
      <c r="G14" s="328">
        <v>554.89</v>
      </c>
      <c r="H14" s="328">
        <v>20.59</v>
      </c>
      <c r="I14" s="328">
        <f t="shared" ref="I14:I66" si="0">F14+G14+H14</f>
        <v>1858.49</v>
      </c>
      <c r="J14" s="328">
        <f>207.21+0.05</f>
        <v>207.26000000000002</v>
      </c>
      <c r="K14" s="329">
        <f>I14+J14</f>
        <v>2065.75</v>
      </c>
      <c r="L14" s="328">
        <f t="shared" ref="L14:L16" si="1">K14*0.2</f>
        <v>413.15000000000003</v>
      </c>
      <c r="M14" s="330">
        <f t="shared" ref="M14:M26" si="2">ROUNDUP(SUM(K14,L14),1)</f>
        <v>2478.9</v>
      </c>
      <c r="Q14" s="49"/>
    </row>
    <row r="15" spans="1:17" ht="18" customHeight="1">
      <c r="A15" s="159" t="s">
        <v>103</v>
      </c>
      <c r="B15" s="160" t="s">
        <v>104</v>
      </c>
      <c r="C15" s="161" t="s">
        <v>105</v>
      </c>
      <c r="D15" s="220">
        <v>1616.75</v>
      </c>
      <c r="E15" s="327">
        <v>14.75</v>
      </c>
      <c r="F15" s="328">
        <v>1624.42</v>
      </c>
      <c r="G15" s="328">
        <v>702.52</v>
      </c>
      <c r="H15" s="328">
        <v>26.08</v>
      </c>
      <c r="I15" s="328">
        <f t="shared" si="0"/>
        <v>2353.02</v>
      </c>
      <c r="J15" s="328">
        <f>262.43+0.05</f>
        <v>262.48</v>
      </c>
      <c r="K15" s="329">
        <f>I15+J15</f>
        <v>2615.5</v>
      </c>
      <c r="L15" s="328">
        <f t="shared" si="1"/>
        <v>523.1</v>
      </c>
      <c r="M15" s="330">
        <f t="shared" si="2"/>
        <v>3138.6</v>
      </c>
      <c r="Q15" s="49"/>
    </row>
    <row r="16" spans="1:17" ht="18" customHeight="1">
      <c r="A16" s="159" t="s">
        <v>106</v>
      </c>
      <c r="B16" s="160" t="s">
        <v>107</v>
      </c>
      <c r="C16" s="161" t="s">
        <v>108</v>
      </c>
      <c r="D16" s="220">
        <v>1914.89</v>
      </c>
      <c r="E16" s="327">
        <v>17.47</v>
      </c>
      <c r="F16" s="328">
        <v>1923.97</v>
      </c>
      <c r="G16" s="328">
        <v>832.08</v>
      </c>
      <c r="H16" s="328">
        <v>30.88</v>
      </c>
      <c r="I16" s="328">
        <f t="shared" si="0"/>
        <v>2786.9300000000003</v>
      </c>
      <c r="J16" s="328">
        <f>310.73+0.01</f>
        <v>310.74</v>
      </c>
      <c r="K16" s="329">
        <f>I16+J16</f>
        <v>3097.67</v>
      </c>
      <c r="L16" s="328">
        <f t="shared" si="1"/>
        <v>619.53400000000011</v>
      </c>
      <c r="M16" s="330">
        <f>SUM(K16:L16)</f>
        <v>3717.2040000000002</v>
      </c>
      <c r="Q16" s="49"/>
    </row>
    <row r="17" spans="1:17" ht="34.5" customHeight="1">
      <c r="A17" s="159" t="s">
        <v>109</v>
      </c>
      <c r="B17" s="160" t="s">
        <v>302</v>
      </c>
      <c r="C17" s="161"/>
      <c r="D17" s="167"/>
      <c r="E17" s="331"/>
      <c r="F17" s="331"/>
      <c r="G17" s="331"/>
      <c r="H17" s="331"/>
      <c r="I17" s="328"/>
      <c r="J17" s="331"/>
      <c r="K17" s="329"/>
      <c r="L17" s="328"/>
      <c r="M17" s="330"/>
      <c r="Q17" s="49"/>
    </row>
    <row r="18" spans="1:17" ht="17.25" customHeight="1">
      <c r="A18" s="168" t="s">
        <v>10</v>
      </c>
      <c r="B18" s="169" t="s">
        <v>111</v>
      </c>
      <c r="C18" s="170" t="s">
        <v>112</v>
      </c>
      <c r="D18" s="171">
        <v>453.79</v>
      </c>
      <c r="E18" s="327">
        <v>4.1399999999999997</v>
      </c>
      <c r="F18" s="328">
        <v>455.94</v>
      </c>
      <c r="G18" s="327">
        <v>197.19</v>
      </c>
      <c r="H18" s="327">
        <v>7.31</v>
      </c>
      <c r="I18" s="328">
        <f t="shared" si="0"/>
        <v>660.43999999999994</v>
      </c>
      <c r="J18" s="327">
        <f>73.58+0.06</f>
        <v>73.64</v>
      </c>
      <c r="K18" s="329">
        <f>I18+J18</f>
        <v>734.07999999999993</v>
      </c>
      <c r="L18" s="328">
        <v>146.82</v>
      </c>
      <c r="M18" s="330">
        <f t="shared" si="2"/>
        <v>880.9</v>
      </c>
      <c r="Q18" s="49"/>
    </row>
    <row r="19" spans="1:17" ht="17.25" customHeight="1">
      <c r="A19" s="168" t="s">
        <v>12</v>
      </c>
      <c r="B19" s="169" t="s">
        <v>113</v>
      </c>
      <c r="C19" s="170" t="s">
        <v>114</v>
      </c>
      <c r="D19" s="171">
        <v>582.03</v>
      </c>
      <c r="E19" s="327">
        <v>5.31</v>
      </c>
      <c r="F19" s="328">
        <v>584.79</v>
      </c>
      <c r="G19" s="327">
        <v>252.92</v>
      </c>
      <c r="H19" s="327">
        <v>9.39</v>
      </c>
      <c r="I19" s="328">
        <f t="shared" si="0"/>
        <v>847.09999999999991</v>
      </c>
      <c r="J19" s="327">
        <f>94.51+0.06</f>
        <v>94.570000000000007</v>
      </c>
      <c r="K19" s="329">
        <f>I19+J19</f>
        <v>941.67</v>
      </c>
      <c r="L19" s="328">
        <v>188.33</v>
      </c>
      <c r="M19" s="330">
        <f>K19+L19</f>
        <v>1130</v>
      </c>
      <c r="Q19" s="49"/>
    </row>
    <row r="20" spans="1:17" ht="17.25" customHeight="1">
      <c r="A20" s="168" t="s">
        <v>14</v>
      </c>
      <c r="B20" s="169" t="s">
        <v>115</v>
      </c>
      <c r="C20" s="170" t="s">
        <v>116</v>
      </c>
      <c r="D20" s="171">
        <v>694.93</v>
      </c>
      <c r="E20" s="327">
        <v>6.34</v>
      </c>
      <c r="F20" s="328">
        <v>698.22</v>
      </c>
      <c r="G20" s="327">
        <v>301.98</v>
      </c>
      <c r="H20" s="327">
        <v>11.22</v>
      </c>
      <c r="I20" s="328">
        <f t="shared" si="0"/>
        <v>1011.4200000000001</v>
      </c>
      <c r="J20" s="327">
        <f>112.86+0.05</f>
        <v>112.91</v>
      </c>
      <c r="K20" s="329">
        <f t="shared" ref="K20:K60" si="3">I20+J20</f>
        <v>1124.3300000000002</v>
      </c>
      <c r="L20" s="328">
        <v>224.87</v>
      </c>
      <c r="M20" s="330">
        <f t="shared" si="2"/>
        <v>1349.2</v>
      </c>
      <c r="Q20" s="49"/>
    </row>
    <row r="21" spans="1:17" ht="17.25" customHeight="1">
      <c r="A21" s="168" t="s">
        <v>16</v>
      </c>
      <c r="B21" s="169" t="s">
        <v>117</v>
      </c>
      <c r="C21" s="170" t="s">
        <v>118</v>
      </c>
      <c r="D21" s="171">
        <v>881.26</v>
      </c>
      <c r="E21" s="327">
        <v>8.0399999999999991</v>
      </c>
      <c r="F21" s="328">
        <v>885.45</v>
      </c>
      <c r="G21" s="327">
        <v>382.93</v>
      </c>
      <c r="H21" s="327">
        <v>14.21</v>
      </c>
      <c r="I21" s="328">
        <f t="shared" si="0"/>
        <v>1282.5900000000001</v>
      </c>
      <c r="J21" s="327">
        <f>142.97+0.02</f>
        <v>142.99</v>
      </c>
      <c r="K21" s="329">
        <f>I21+J21</f>
        <v>1425.5800000000002</v>
      </c>
      <c r="L21" s="328">
        <v>285.12</v>
      </c>
      <c r="M21" s="330">
        <f t="shared" si="2"/>
        <v>1710.7</v>
      </c>
      <c r="Q21" s="49"/>
    </row>
    <row r="22" spans="1:17" ht="17.25" customHeight="1">
      <c r="A22" s="168" t="s">
        <v>18</v>
      </c>
      <c r="B22" s="169" t="s">
        <v>119</v>
      </c>
      <c r="C22" s="170" t="s">
        <v>120</v>
      </c>
      <c r="D22" s="171">
        <v>951.41</v>
      </c>
      <c r="E22" s="327">
        <v>8.68</v>
      </c>
      <c r="F22" s="328">
        <v>955.93</v>
      </c>
      <c r="G22" s="327">
        <v>413.42</v>
      </c>
      <c r="H22" s="327">
        <v>15.34</v>
      </c>
      <c r="I22" s="328">
        <f t="shared" si="0"/>
        <v>1384.6899999999998</v>
      </c>
      <c r="J22" s="327">
        <f>154.4+0.08</f>
        <v>154.48000000000002</v>
      </c>
      <c r="K22" s="329">
        <f>I22+J22</f>
        <v>1539.1699999999998</v>
      </c>
      <c r="L22" s="328">
        <v>307.83</v>
      </c>
      <c r="M22" s="330">
        <f>K22+L22</f>
        <v>1846.9999999999998</v>
      </c>
      <c r="Q22" s="49"/>
    </row>
    <row r="23" spans="1:17" ht="17.25" customHeight="1">
      <c r="A23" s="168" t="s">
        <v>121</v>
      </c>
      <c r="B23" s="169" t="s">
        <v>122</v>
      </c>
      <c r="C23" s="170" t="s">
        <v>123</v>
      </c>
      <c r="D23" s="171">
        <v>1077.47</v>
      </c>
      <c r="E23" s="327">
        <v>9.83</v>
      </c>
      <c r="F23" s="328">
        <v>1082.58</v>
      </c>
      <c r="G23" s="327">
        <v>468.19</v>
      </c>
      <c r="H23" s="327">
        <v>17.38</v>
      </c>
      <c r="I23" s="328">
        <f t="shared" si="0"/>
        <v>1568.15</v>
      </c>
      <c r="J23" s="327">
        <v>174.85</v>
      </c>
      <c r="K23" s="329">
        <f>I23+J23</f>
        <v>1743</v>
      </c>
      <c r="L23" s="328">
        <v>348.6</v>
      </c>
      <c r="M23" s="330">
        <f t="shared" si="2"/>
        <v>2091.6</v>
      </c>
      <c r="Q23" s="49"/>
    </row>
    <row r="24" spans="1:17" ht="17.25" customHeight="1">
      <c r="A24" s="168" t="s">
        <v>124</v>
      </c>
      <c r="B24" s="169" t="s">
        <v>125</v>
      </c>
      <c r="C24" s="170" t="s">
        <v>126</v>
      </c>
      <c r="D24" s="171">
        <v>1233.1099999999999</v>
      </c>
      <c r="E24" s="327">
        <v>11.25</v>
      </c>
      <c r="F24" s="328">
        <v>1238.96</v>
      </c>
      <c r="G24" s="327">
        <v>535.83000000000004</v>
      </c>
      <c r="H24" s="327">
        <v>19.89</v>
      </c>
      <c r="I24" s="328">
        <f t="shared" si="0"/>
        <v>1794.68</v>
      </c>
      <c r="J24" s="327">
        <f>200.12+0.03</f>
        <v>200.15</v>
      </c>
      <c r="K24" s="329">
        <f>I24+J24</f>
        <v>1994.8300000000002</v>
      </c>
      <c r="L24" s="328">
        <v>398.97</v>
      </c>
      <c r="M24" s="330">
        <f t="shared" si="2"/>
        <v>2393.8000000000002</v>
      </c>
      <c r="Q24" s="49"/>
    </row>
    <row r="25" spans="1:17" ht="34.5" customHeight="1">
      <c r="A25" s="168" t="s">
        <v>127</v>
      </c>
      <c r="B25" s="169" t="s">
        <v>303</v>
      </c>
      <c r="C25" s="170"/>
      <c r="D25" s="172"/>
      <c r="E25" s="332"/>
      <c r="F25" s="332"/>
      <c r="G25" s="332"/>
      <c r="H25" s="332"/>
      <c r="I25" s="328"/>
      <c r="J25" s="332"/>
      <c r="K25" s="329"/>
      <c r="L25" s="328"/>
      <c r="M25" s="330"/>
      <c r="Q25" s="49"/>
    </row>
    <row r="26" spans="1:17" ht="17.25" customHeight="1">
      <c r="A26" s="168" t="s">
        <v>129</v>
      </c>
      <c r="B26" s="169" t="s">
        <v>130</v>
      </c>
      <c r="C26" s="170" t="s">
        <v>131</v>
      </c>
      <c r="D26" s="171">
        <v>968.95</v>
      </c>
      <c r="E26" s="327">
        <v>8.84</v>
      </c>
      <c r="F26" s="328">
        <v>973.55</v>
      </c>
      <c r="G26" s="327">
        <v>398.49</v>
      </c>
      <c r="H26" s="328">
        <v>15.47</v>
      </c>
      <c r="I26" s="328">
        <f t="shared" si="0"/>
        <v>1387.51</v>
      </c>
      <c r="J26" s="328">
        <f>155.69+0.05</f>
        <v>155.74</v>
      </c>
      <c r="K26" s="329">
        <f t="shared" ref="K26:K37" si="4">I26+J26</f>
        <v>1543.25</v>
      </c>
      <c r="L26" s="328">
        <v>308.64999999999998</v>
      </c>
      <c r="M26" s="330">
        <f t="shared" si="2"/>
        <v>1851.9</v>
      </c>
      <c r="Q26" s="49"/>
    </row>
    <row r="27" spans="1:17" ht="17.25" customHeight="1">
      <c r="A27" s="168" t="s">
        <v>132</v>
      </c>
      <c r="B27" s="169" t="s">
        <v>122</v>
      </c>
      <c r="C27" s="170" t="s">
        <v>133</v>
      </c>
      <c r="D27" s="171">
        <v>1069.79</v>
      </c>
      <c r="E27" s="327">
        <v>9.76</v>
      </c>
      <c r="F27" s="328">
        <v>1074.8699999999999</v>
      </c>
      <c r="G27" s="327">
        <v>439.96</v>
      </c>
      <c r="H27" s="328">
        <v>17.09</v>
      </c>
      <c r="I27" s="328">
        <f t="shared" si="0"/>
        <v>1531.9199999999998</v>
      </c>
      <c r="J27" s="328">
        <f>171.95+0.05</f>
        <v>172</v>
      </c>
      <c r="K27" s="329">
        <f t="shared" si="4"/>
        <v>1703.9199999999998</v>
      </c>
      <c r="L27" s="328">
        <v>340.78</v>
      </c>
      <c r="M27" s="330">
        <f>K27+L27</f>
        <v>2044.6999999999998</v>
      </c>
      <c r="Q27" s="49"/>
    </row>
    <row r="28" spans="1:17" ht="17.25" customHeight="1">
      <c r="A28" s="168" t="s">
        <v>134</v>
      </c>
      <c r="B28" s="169" t="s">
        <v>125</v>
      </c>
      <c r="C28" s="170" t="s">
        <v>135</v>
      </c>
      <c r="D28" s="171">
        <v>1183.79</v>
      </c>
      <c r="E28" s="327">
        <v>10.8</v>
      </c>
      <c r="F28" s="328">
        <v>1189.4000000000001</v>
      </c>
      <c r="G28" s="327">
        <v>486.85</v>
      </c>
      <c r="H28" s="328">
        <v>18.91</v>
      </c>
      <c r="I28" s="328">
        <f t="shared" si="0"/>
        <v>1695.16</v>
      </c>
      <c r="J28" s="328">
        <f>190.3+0.04</f>
        <v>190.34</v>
      </c>
      <c r="K28" s="329">
        <f t="shared" si="4"/>
        <v>1885.5</v>
      </c>
      <c r="L28" s="328">
        <v>377.1</v>
      </c>
      <c r="M28" s="330">
        <f t="shared" ref="M28:M66" si="5">K28+L28</f>
        <v>2262.6</v>
      </c>
      <c r="Q28" s="49"/>
    </row>
    <row r="29" spans="1:17" ht="17.25" customHeight="1">
      <c r="A29" s="168" t="s">
        <v>136</v>
      </c>
      <c r="B29" s="169" t="s">
        <v>137</v>
      </c>
      <c r="C29" s="170" t="s">
        <v>138</v>
      </c>
      <c r="D29" s="171">
        <v>1326.28</v>
      </c>
      <c r="E29" s="327">
        <v>12.1</v>
      </c>
      <c r="F29" s="328">
        <v>1332.57</v>
      </c>
      <c r="G29" s="327">
        <v>545.45000000000005</v>
      </c>
      <c r="H29" s="328">
        <v>21.18</v>
      </c>
      <c r="I29" s="328">
        <f t="shared" si="0"/>
        <v>1899.2</v>
      </c>
      <c r="J29" s="328">
        <f>213.16+0.06</f>
        <v>213.22</v>
      </c>
      <c r="K29" s="329">
        <f t="shared" si="4"/>
        <v>2112.42</v>
      </c>
      <c r="L29" s="328">
        <v>422.48</v>
      </c>
      <c r="M29" s="330">
        <f t="shared" si="5"/>
        <v>2534.9</v>
      </c>
      <c r="Q29" s="49"/>
    </row>
    <row r="30" spans="1:17" ht="17.25" customHeight="1">
      <c r="A30" s="168" t="s">
        <v>139</v>
      </c>
      <c r="B30" s="169" t="s">
        <v>140</v>
      </c>
      <c r="C30" s="170" t="s">
        <v>141</v>
      </c>
      <c r="D30" s="171">
        <v>1627.71</v>
      </c>
      <c r="E30" s="327">
        <v>14.85</v>
      </c>
      <c r="F30" s="328">
        <v>1635.43</v>
      </c>
      <c r="G30" s="327">
        <v>669.42</v>
      </c>
      <c r="H30" s="328">
        <v>26</v>
      </c>
      <c r="I30" s="328">
        <f t="shared" si="0"/>
        <v>2330.85</v>
      </c>
      <c r="J30" s="328">
        <f>261.63+0.02</f>
        <v>261.64999999999998</v>
      </c>
      <c r="K30" s="329">
        <f t="shared" si="4"/>
        <v>2592.5</v>
      </c>
      <c r="L30" s="328">
        <v>518.5</v>
      </c>
      <c r="M30" s="330">
        <f t="shared" si="5"/>
        <v>3111</v>
      </c>
      <c r="Q30" s="49"/>
    </row>
    <row r="31" spans="1:17" ht="17.25" customHeight="1">
      <c r="A31" s="168" t="s">
        <v>142</v>
      </c>
      <c r="B31" s="169" t="s">
        <v>143</v>
      </c>
      <c r="C31" s="170" t="s">
        <v>144</v>
      </c>
      <c r="D31" s="171">
        <v>2375.25</v>
      </c>
      <c r="E31" s="327">
        <v>21.67</v>
      </c>
      <c r="F31" s="328">
        <v>2386.52</v>
      </c>
      <c r="G31" s="327">
        <v>976.85</v>
      </c>
      <c r="H31" s="328">
        <v>37.94</v>
      </c>
      <c r="I31" s="328">
        <f t="shared" si="0"/>
        <v>3401.31</v>
      </c>
      <c r="J31" s="328">
        <f>381.73+0.04</f>
        <v>381.77000000000004</v>
      </c>
      <c r="K31" s="329">
        <f t="shared" si="4"/>
        <v>3783.08</v>
      </c>
      <c r="L31" s="328">
        <v>756.62</v>
      </c>
      <c r="M31" s="330">
        <f t="shared" si="5"/>
        <v>4539.7</v>
      </c>
      <c r="Q31" s="49"/>
    </row>
    <row r="32" spans="1:17" ht="17.25" customHeight="1">
      <c r="A32" s="168" t="s">
        <v>145</v>
      </c>
      <c r="B32" s="173" t="s">
        <v>146</v>
      </c>
      <c r="C32" s="170" t="s">
        <v>147</v>
      </c>
      <c r="D32" s="171">
        <v>2854.24</v>
      </c>
      <c r="E32" s="327">
        <v>26.04</v>
      </c>
      <c r="F32" s="328">
        <v>2867.79</v>
      </c>
      <c r="G32" s="327">
        <v>1173.8499999999999</v>
      </c>
      <c r="H32" s="328">
        <v>45.58</v>
      </c>
      <c r="I32" s="328">
        <f t="shared" si="0"/>
        <v>4087.22</v>
      </c>
      <c r="J32" s="328">
        <f>458.69+0.01</f>
        <v>458.7</v>
      </c>
      <c r="K32" s="329">
        <f t="shared" si="4"/>
        <v>4545.92</v>
      </c>
      <c r="L32" s="328">
        <v>909.18</v>
      </c>
      <c r="M32" s="330">
        <f>K32+L32</f>
        <v>5455.1</v>
      </c>
      <c r="Q32" s="49"/>
    </row>
    <row r="33" spans="1:17" ht="17.25" customHeight="1">
      <c r="A33" s="168" t="s">
        <v>148</v>
      </c>
      <c r="B33" s="173" t="s">
        <v>149</v>
      </c>
      <c r="C33" s="170" t="s">
        <v>150</v>
      </c>
      <c r="D33" s="171">
        <v>3425.31</v>
      </c>
      <c r="E33" s="327">
        <v>31.25</v>
      </c>
      <c r="F33" s="328">
        <v>3441.56</v>
      </c>
      <c r="G33" s="327">
        <v>1408.71</v>
      </c>
      <c r="H33" s="328">
        <v>54.7</v>
      </c>
      <c r="I33" s="328">
        <f t="shared" si="0"/>
        <v>4904.97</v>
      </c>
      <c r="J33" s="333">
        <f>550.46+0.07</f>
        <v>550.53000000000009</v>
      </c>
      <c r="K33" s="329">
        <f t="shared" si="4"/>
        <v>5455.5</v>
      </c>
      <c r="L33" s="328">
        <v>1091.0999999999999</v>
      </c>
      <c r="M33" s="330">
        <f t="shared" si="5"/>
        <v>6546.6</v>
      </c>
      <c r="Q33" s="49"/>
    </row>
    <row r="34" spans="1:17" ht="17.25" customHeight="1">
      <c r="A34" s="168" t="s">
        <v>151</v>
      </c>
      <c r="B34" s="173" t="s">
        <v>152</v>
      </c>
      <c r="C34" s="170" t="s">
        <v>153</v>
      </c>
      <c r="D34" s="171">
        <v>4346.04</v>
      </c>
      <c r="E34" s="327">
        <v>39.65</v>
      </c>
      <c r="F34" s="328">
        <v>4366.6499999999996</v>
      </c>
      <c r="G34" s="334">
        <v>1787.37</v>
      </c>
      <c r="H34" s="327">
        <v>69.41</v>
      </c>
      <c r="I34" s="328">
        <f t="shared" si="0"/>
        <v>6223.4299999999994</v>
      </c>
      <c r="J34" s="327">
        <f>698.42+0.07</f>
        <v>698.49</v>
      </c>
      <c r="K34" s="329">
        <f t="shared" si="4"/>
        <v>6921.9199999999992</v>
      </c>
      <c r="L34" s="328">
        <v>1384.38</v>
      </c>
      <c r="M34" s="330">
        <f t="shared" si="5"/>
        <v>8306.2999999999993</v>
      </c>
      <c r="Q34" s="49"/>
    </row>
    <row r="35" spans="1:17" ht="17.25" customHeight="1">
      <c r="A35" s="168" t="s">
        <v>154</v>
      </c>
      <c r="B35" s="173" t="s">
        <v>155</v>
      </c>
      <c r="C35" s="170" t="s">
        <v>156</v>
      </c>
      <c r="D35" s="171">
        <v>4548.82</v>
      </c>
      <c r="E35" s="327">
        <v>41.5</v>
      </c>
      <c r="F35" s="328">
        <v>4570.3999999999996</v>
      </c>
      <c r="G35" s="327">
        <v>1870.77</v>
      </c>
      <c r="H35" s="327">
        <v>72.64</v>
      </c>
      <c r="I35" s="328">
        <f t="shared" si="0"/>
        <v>6513.81</v>
      </c>
      <c r="J35" s="327">
        <v>730.94</v>
      </c>
      <c r="K35" s="329">
        <f t="shared" si="4"/>
        <v>7244.75</v>
      </c>
      <c r="L35" s="328">
        <v>1448.95</v>
      </c>
      <c r="M35" s="330">
        <f t="shared" si="5"/>
        <v>8693.7000000000007</v>
      </c>
      <c r="Q35" s="49"/>
    </row>
    <row r="36" spans="1:17" ht="17.25" customHeight="1">
      <c r="A36" s="168" t="s">
        <v>157</v>
      </c>
      <c r="B36" s="173" t="s">
        <v>158</v>
      </c>
      <c r="C36" s="170" t="s">
        <v>159</v>
      </c>
      <c r="D36" s="171">
        <v>5118.79</v>
      </c>
      <c r="E36" s="327">
        <v>46.7</v>
      </c>
      <c r="F36" s="328">
        <v>5143.07</v>
      </c>
      <c r="G36" s="334">
        <v>2105.17</v>
      </c>
      <c r="H36" s="327">
        <v>81.739999999999995</v>
      </c>
      <c r="I36" s="328">
        <f t="shared" si="0"/>
        <v>7329.98</v>
      </c>
      <c r="J36" s="327">
        <f>822.55+0.05</f>
        <v>822.59999999999991</v>
      </c>
      <c r="K36" s="329">
        <f t="shared" si="4"/>
        <v>8152.58</v>
      </c>
      <c r="L36" s="328">
        <v>1630.52</v>
      </c>
      <c r="M36" s="330">
        <f t="shared" si="5"/>
        <v>9783.1</v>
      </c>
      <c r="Q36" s="49"/>
    </row>
    <row r="37" spans="1:17" ht="17.25" customHeight="1">
      <c r="A37" s="168" t="s">
        <v>160</v>
      </c>
      <c r="B37" s="173" t="s">
        <v>161</v>
      </c>
      <c r="C37" s="170" t="s">
        <v>162</v>
      </c>
      <c r="D37" s="171">
        <v>5210.8599999999997</v>
      </c>
      <c r="E37" s="327">
        <v>47.54</v>
      </c>
      <c r="F37" s="328">
        <v>5235.58</v>
      </c>
      <c r="G37" s="327">
        <v>2143.0300000000002</v>
      </c>
      <c r="H37" s="327">
        <v>93.1</v>
      </c>
      <c r="I37" s="328">
        <f t="shared" si="0"/>
        <v>7471.7100000000009</v>
      </c>
      <c r="J37" s="327">
        <f>1040.2+0.01</f>
        <v>1040.21</v>
      </c>
      <c r="K37" s="329">
        <f t="shared" si="4"/>
        <v>8511.9200000000019</v>
      </c>
      <c r="L37" s="328">
        <v>1702.38</v>
      </c>
      <c r="M37" s="330">
        <f t="shared" si="5"/>
        <v>10214.300000000003</v>
      </c>
      <c r="Q37" s="49"/>
    </row>
    <row r="38" spans="1:17" ht="36.75" customHeight="1">
      <c r="A38" s="168" t="s">
        <v>163</v>
      </c>
      <c r="B38" s="169" t="s">
        <v>304</v>
      </c>
      <c r="C38" s="170"/>
      <c r="D38" s="172"/>
      <c r="E38" s="332"/>
      <c r="F38" s="332"/>
      <c r="G38" s="332"/>
      <c r="H38" s="332"/>
      <c r="I38" s="328"/>
      <c r="J38" s="332"/>
      <c r="K38" s="329"/>
      <c r="L38" s="328"/>
      <c r="M38" s="330"/>
      <c r="Q38" s="49"/>
    </row>
    <row r="39" spans="1:17" ht="18" customHeight="1">
      <c r="A39" s="168" t="s">
        <v>23</v>
      </c>
      <c r="B39" s="169" t="s">
        <v>165</v>
      </c>
      <c r="C39" s="170" t="s">
        <v>166</v>
      </c>
      <c r="D39" s="171">
        <v>620.39</v>
      </c>
      <c r="E39" s="327">
        <v>5.66</v>
      </c>
      <c r="F39" s="328">
        <v>623.34</v>
      </c>
      <c r="G39" s="327">
        <v>255.15</v>
      </c>
      <c r="H39" s="327">
        <v>9.9</v>
      </c>
      <c r="I39" s="328">
        <f t="shared" si="0"/>
        <v>888.39</v>
      </c>
      <c r="J39" s="327">
        <f>99.66+0.03</f>
        <v>99.69</v>
      </c>
      <c r="K39" s="329">
        <f t="shared" ref="K39:K46" si="6">I39+J39</f>
        <v>988.07999999999993</v>
      </c>
      <c r="L39" s="328">
        <v>197.62</v>
      </c>
      <c r="M39" s="330">
        <f t="shared" si="5"/>
        <v>1185.6999999999998</v>
      </c>
      <c r="Q39" s="49"/>
    </row>
    <row r="40" spans="1:17" ht="18" customHeight="1">
      <c r="A40" s="168" t="s">
        <v>25</v>
      </c>
      <c r="B40" s="169" t="s">
        <v>137</v>
      </c>
      <c r="C40" s="170" t="s">
        <v>167</v>
      </c>
      <c r="D40" s="171">
        <v>771.65</v>
      </c>
      <c r="E40" s="327">
        <v>7.04</v>
      </c>
      <c r="F40" s="328">
        <v>775.32</v>
      </c>
      <c r="G40" s="327">
        <v>317.36</v>
      </c>
      <c r="H40" s="327">
        <v>12.32</v>
      </c>
      <c r="I40" s="328">
        <f t="shared" si="0"/>
        <v>1105</v>
      </c>
      <c r="J40" s="327">
        <f>123.97+0.03</f>
        <v>124</v>
      </c>
      <c r="K40" s="329">
        <f t="shared" si="6"/>
        <v>1229</v>
      </c>
      <c r="L40" s="328">
        <v>245.8</v>
      </c>
      <c r="M40" s="330">
        <f t="shared" si="5"/>
        <v>1474.8</v>
      </c>
      <c r="Q40" s="49"/>
    </row>
    <row r="41" spans="1:17" ht="18" customHeight="1">
      <c r="A41" s="168" t="s">
        <v>27</v>
      </c>
      <c r="B41" s="169" t="s">
        <v>140</v>
      </c>
      <c r="C41" s="170" t="s">
        <v>168</v>
      </c>
      <c r="D41" s="171">
        <v>1196.94</v>
      </c>
      <c r="E41" s="327">
        <v>10.92</v>
      </c>
      <c r="F41" s="328">
        <v>1202.6199999999999</v>
      </c>
      <c r="G41" s="327">
        <v>492.25</v>
      </c>
      <c r="H41" s="327">
        <v>19.12</v>
      </c>
      <c r="I41" s="328">
        <f t="shared" si="0"/>
        <v>1713.9899999999998</v>
      </c>
      <c r="J41" s="327">
        <f>192.4+0.03</f>
        <v>192.43</v>
      </c>
      <c r="K41" s="329">
        <f t="shared" si="6"/>
        <v>1906.4199999999998</v>
      </c>
      <c r="L41" s="328">
        <v>381.28</v>
      </c>
      <c r="M41" s="330">
        <f t="shared" si="5"/>
        <v>2287.6999999999998</v>
      </c>
      <c r="Q41" s="49"/>
    </row>
    <row r="42" spans="1:17" ht="18" customHeight="1">
      <c r="A42" s="168" t="s">
        <v>29</v>
      </c>
      <c r="B42" s="169" t="s">
        <v>143</v>
      </c>
      <c r="C42" s="170" t="s">
        <v>169</v>
      </c>
      <c r="D42" s="171">
        <v>1683.61</v>
      </c>
      <c r="E42" s="327">
        <v>15.36</v>
      </c>
      <c r="F42" s="328">
        <v>1691.6</v>
      </c>
      <c r="G42" s="327">
        <v>692.41</v>
      </c>
      <c r="H42" s="327">
        <v>26.88</v>
      </c>
      <c r="I42" s="328">
        <f t="shared" si="0"/>
        <v>2410.89</v>
      </c>
      <c r="J42" s="327">
        <f>270.48+0.05</f>
        <v>270.53000000000003</v>
      </c>
      <c r="K42" s="329">
        <f t="shared" si="6"/>
        <v>2681.42</v>
      </c>
      <c r="L42" s="328">
        <v>536.28</v>
      </c>
      <c r="M42" s="330">
        <f t="shared" si="5"/>
        <v>3217.7</v>
      </c>
      <c r="Q42" s="49"/>
    </row>
    <row r="43" spans="1:17" ht="18" customHeight="1">
      <c r="A43" s="168" t="s">
        <v>170</v>
      </c>
      <c r="B43" s="173" t="s">
        <v>171</v>
      </c>
      <c r="C43" s="170" t="s">
        <v>172</v>
      </c>
      <c r="D43" s="171">
        <v>2099.0300000000002</v>
      </c>
      <c r="E43" s="327">
        <v>19.149999999999999</v>
      </c>
      <c r="F43" s="328">
        <v>2108.9899999999998</v>
      </c>
      <c r="G43" s="327">
        <v>863.25</v>
      </c>
      <c r="H43" s="327">
        <v>33.520000000000003</v>
      </c>
      <c r="I43" s="328">
        <f t="shared" si="0"/>
        <v>3005.7599999999998</v>
      </c>
      <c r="J43" s="327">
        <f>337.3+0.02</f>
        <v>337.32</v>
      </c>
      <c r="K43" s="329">
        <f t="shared" si="6"/>
        <v>3343.08</v>
      </c>
      <c r="L43" s="328">
        <v>668.62</v>
      </c>
      <c r="M43" s="330">
        <f t="shared" si="5"/>
        <v>4011.7</v>
      </c>
      <c r="Q43" s="49"/>
    </row>
    <row r="44" spans="1:17" ht="18" customHeight="1">
      <c r="A44" s="168" t="s">
        <v>173</v>
      </c>
      <c r="B44" s="173" t="s">
        <v>174</v>
      </c>
      <c r="C44" s="170" t="s">
        <v>175</v>
      </c>
      <c r="D44" s="171">
        <v>2523.2199999999998</v>
      </c>
      <c r="E44" s="327">
        <v>23.02</v>
      </c>
      <c r="F44" s="328">
        <v>2535.19</v>
      </c>
      <c r="G44" s="327">
        <v>1037.71</v>
      </c>
      <c r="H44" s="327">
        <v>40.29</v>
      </c>
      <c r="I44" s="328">
        <f t="shared" si="0"/>
        <v>3613.19</v>
      </c>
      <c r="J44" s="327">
        <f>405.4+0.08</f>
        <v>405.47999999999996</v>
      </c>
      <c r="K44" s="329">
        <f t="shared" si="6"/>
        <v>4018.67</v>
      </c>
      <c r="L44" s="328">
        <v>803.73</v>
      </c>
      <c r="M44" s="330">
        <f t="shared" si="5"/>
        <v>4822.3999999999996</v>
      </c>
      <c r="Q44" s="49"/>
    </row>
    <row r="45" spans="1:17" ht="18" customHeight="1">
      <c r="A45" s="168" t="s">
        <v>176</v>
      </c>
      <c r="B45" s="173" t="s">
        <v>177</v>
      </c>
      <c r="C45" s="170" t="s">
        <v>178</v>
      </c>
      <c r="D45" s="171">
        <v>3461.48</v>
      </c>
      <c r="E45" s="327">
        <v>31.58</v>
      </c>
      <c r="F45" s="328">
        <v>3477.91</v>
      </c>
      <c r="G45" s="327">
        <v>1423.57</v>
      </c>
      <c r="H45" s="327">
        <v>55.28</v>
      </c>
      <c r="I45" s="328">
        <f t="shared" si="0"/>
        <v>4956.7599999999993</v>
      </c>
      <c r="J45" s="327">
        <f>556.26+0.06</f>
        <v>556.31999999999994</v>
      </c>
      <c r="K45" s="329">
        <f t="shared" si="6"/>
        <v>5513.079999999999</v>
      </c>
      <c r="L45" s="328">
        <v>1102.6199999999999</v>
      </c>
      <c r="M45" s="330">
        <f t="shared" si="5"/>
        <v>6615.6999999999989</v>
      </c>
      <c r="Q45" s="49"/>
    </row>
    <row r="46" spans="1:17" ht="18" customHeight="1">
      <c r="A46" s="168" t="s">
        <v>179</v>
      </c>
      <c r="B46" s="173" t="s">
        <v>180</v>
      </c>
      <c r="C46" s="170" t="s">
        <v>181</v>
      </c>
      <c r="D46" s="171">
        <v>4235.33</v>
      </c>
      <c r="E46" s="327">
        <v>38.64</v>
      </c>
      <c r="F46" s="328">
        <v>4255.42</v>
      </c>
      <c r="G46" s="327">
        <v>1741.84</v>
      </c>
      <c r="H46" s="327">
        <v>67.63</v>
      </c>
      <c r="I46" s="328">
        <f t="shared" si="0"/>
        <v>6064.89</v>
      </c>
      <c r="J46" s="327">
        <f>680.55+0.06</f>
        <v>680.6099999999999</v>
      </c>
      <c r="K46" s="329">
        <f t="shared" si="6"/>
        <v>6745.5</v>
      </c>
      <c r="L46" s="328">
        <v>1349.1</v>
      </c>
      <c r="M46" s="330">
        <f t="shared" si="5"/>
        <v>8094.6</v>
      </c>
      <c r="Q46" s="49"/>
    </row>
    <row r="47" spans="1:17" ht="22.5" customHeight="1">
      <c r="A47" s="168" t="s">
        <v>182</v>
      </c>
      <c r="B47" s="169" t="s">
        <v>305</v>
      </c>
      <c r="C47" s="170"/>
      <c r="D47" s="172"/>
      <c r="E47" s="327"/>
      <c r="F47" s="327"/>
      <c r="G47" s="327"/>
      <c r="H47" s="327"/>
      <c r="I47" s="328"/>
      <c r="J47" s="327"/>
      <c r="K47" s="329"/>
      <c r="L47" s="328"/>
      <c r="M47" s="330"/>
      <c r="Q47" s="49"/>
    </row>
    <row r="48" spans="1:17" ht="18" customHeight="1">
      <c r="A48" s="168" t="s">
        <v>33</v>
      </c>
      <c r="B48" s="169" t="s">
        <v>184</v>
      </c>
      <c r="C48" s="170" t="s">
        <v>185</v>
      </c>
      <c r="D48" s="171">
        <v>3438.96</v>
      </c>
      <c r="E48" s="327">
        <v>3.56</v>
      </c>
      <c r="F48" s="328">
        <v>345.53</v>
      </c>
      <c r="G48" s="327">
        <v>149.63</v>
      </c>
      <c r="H48" s="327">
        <v>6.22</v>
      </c>
      <c r="I48" s="328">
        <f t="shared" si="0"/>
        <v>501.38</v>
      </c>
      <c r="J48" s="327">
        <f>62.63+0.07</f>
        <v>62.7</v>
      </c>
      <c r="K48" s="329">
        <f t="shared" si="3"/>
        <v>564.08000000000004</v>
      </c>
      <c r="L48" s="328">
        <v>112.82</v>
      </c>
      <c r="M48" s="330">
        <f t="shared" si="5"/>
        <v>676.90000000000009</v>
      </c>
      <c r="Q48" s="49"/>
    </row>
    <row r="49" spans="1:17" ht="18" customHeight="1">
      <c r="A49" s="168" t="s">
        <v>35</v>
      </c>
      <c r="B49" s="169" t="s">
        <v>186</v>
      </c>
      <c r="C49" s="170" t="s">
        <v>187</v>
      </c>
      <c r="D49" s="171">
        <v>4646.46</v>
      </c>
      <c r="E49" s="327">
        <v>4.8099999999999996</v>
      </c>
      <c r="F49" s="328">
        <v>466.86</v>
      </c>
      <c r="G49" s="327">
        <v>202.17</v>
      </c>
      <c r="H49" s="327">
        <v>8.42</v>
      </c>
      <c r="I49" s="328">
        <f t="shared" si="0"/>
        <v>677.44999999999993</v>
      </c>
      <c r="J49" s="327">
        <f>84.69+0.03</f>
        <v>84.72</v>
      </c>
      <c r="K49" s="329">
        <f>I49+J49</f>
        <v>762.17</v>
      </c>
      <c r="L49" s="328">
        <v>152.43</v>
      </c>
      <c r="M49" s="330">
        <f t="shared" si="5"/>
        <v>914.59999999999991</v>
      </c>
      <c r="Q49" s="49"/>
    </row>
    <row r="50" spans="1:17" ht="35.25" customHeight="1">
      <c r="A50" s="168" t="s">
        <v>188</v>
      </c>
      <c r="B50" s="169" t="s">
        <v>189</v>
      </c>
      <c r="C50" s="170"/>
      <c r="D50" s="172"/>
      <c r="E50" s="332"/>
      <c r="F50" s="332"/>
      <c r="G50" s="332"/>
      <c r="H50" s="332"/>
      <c r="I50" s="328"/>
      <c r="J50" s="332"/>
      <c r="K50" s="329"/>
      <c r="L50" s="328"/>
      <c r="M50" s="330"/>
      <c r="Q50" s="49"/>
    </row>
    <row r="51" spans="1:17" ht="17.25" customHeight="1">
      <c r="A51" s="168" t="s">
        <v>190</v>
      </c>
      <c r="B51" s="169" t="s">
        <v>191</v>
      </c>
      <c r="C51" s="170" t="s">
        <v>192</v>
      </c>
      <c r="D51" s="171">
        <v>465.84</v>
      </c>
      <c r="E51" s="327">
        <v>4.25</v>
      </c>
      <c r="F51" s="328">
        <v>468.05</v>
      </c>
      <c r="G51" s="327">
        <v>191.58</v>
      </c>
      <c r="H51" s="327">
        <v>7.44</v>
      </c>
      <c r="I51" s="328">
        <f t="shared" si="0"/>
        <v>667.07</v>
      </c>
      <c r="J51" s="327">
        <f>74.87+0.06</f>
        <v>74.930000000000007</v>
      </c>
      <c r="K51" s="329">
        <f t="shared" ref="K51:K54" si="7">I51+J51</f>
        <v>742</v>
      </c>
      <c r="L51" s="328">
        <v>148.4</v>
      </c>
      <c r="M51" s="330">
        <f t="shared" si="5"/>
        <v>890.4</v>
      </c>
      <c r="Q51" s="49"/>
    </row>
    <row r="52" spans="1:17" s="60" customFormat="1" ht="17.25" customHeight="1">
      <c r="A52" s="168" t="s">
        <v>193</v>
      </c>
      <c r="B52" s="169" t="s">
        <v>194</v>
      </c>
      <c r="C52" s="170" t="s">
        <v>195</v>
      </c>
      <c r="D52" s="171">
        <v>538.19000000000005</v>
      </c>
      <c r="E52" s="327">
        <v>4.91</v>
      </c>
      <c r="F52" s="328">
        <v>540.74</v>
      </c>
      <c r="G52" s="327">
        <v>221.34</v>
      </c>
      <c r="H52" s="327">
        <v>8.59</v>
      </c>
      <c r="I52" s="328">
        <f t="shared" si="0"/>
        <v>770.67000000000007</v>
      </c>
      <c r="J52" s="327">
        <f>86.46+0.04</f>
        <v>86.5</v>
      </c>
      <c r="K52" s="329">
        <f t="shared" si="7"/>
        <v>857.17000000000007</v>
      </c>
      <c r="L52" s="328">
        <v>171.43</v>
      </c>
      <c r="M52" s="330">
        <f t="shared" si="5"/>
        <v>1028.6000000000001</v>
      </c>
      <c r="N52" s="335"/>
      <c r="Q52" s="49"/>
    </row>
    <row r="53" spans="1:17" s="61" customFormat="1" ht="17.25" customHeight="1">
      <c r="A53" s="168" t="s">
        <v>196</v>
      </c>
      <c r="B53" s="169" t="s">
        <v>125</v>
      </c>
      <c r="C53" s="170" t="s">
        <v>197</v>
      </c>
      <c r="D53" s="171">
        <v>668.62</v>
      </c>
      <c r="E53" s="327">
        <v>6.1</v>
      </c>
      <c r="F53" s="328">
        <v>671.79</v>
      </c>
      <c r="G53" s="327">
        <v>274.98</v>
      </c>
      <c r="H53" s="327">
        <v>10.67</v>
      </c>
      <c r="I53" s="328">
        <f t="shared" si="0"/>
        <v>957.43999999999994</v>
      </c>
      <c r="J53" s="327">
        <v>107.39</v>
      </c>
      <c r="K53" s="329">
        <f t="shared" si="7"/>
        <v>1064.83</v>
      </c>
      <c r="L53" s="328">
        <v>212.97</v>
      </c>
      <c r="M53" s="330">
        <f t="shared" si="5"/>
        <v>1277.8</v>
      </c>
      <c r="N53" s="336"/>
      <c r="Q53" s="49"/>
    </row>
    <row r="54" spans="1:17" s="61" customFormat="1" ht="17.25" customHeight="1">
      <c r="A54" s="168" t="s">
        <v>198</v>
      </c>
      <c r="B54" s="169" t="s">
        <v>137</v>
      </c>
      <c r="C54" s="170" t="s">
        <v>199</v>
      </c>
      <c r="D54" s="171">
        <v>710.27</v>
      </c>
      <c r="E54" s="327">
        <v>6.48</v>
      </c>
      <c r="F54" s="328">
        <v>713.64</v>
      </c>
      <c r="G54" s="327">
        <v>292.11</v>
      </c>
      <c r="H54" s="327">
        <v>11.34</v>
      </c>
      <c r="I54" s="328">
        <f t="shared" si="0"/>
        <v>1017.09</v>
      </c>
      <c r="J54" s="327">
        <f>114.15+0.01</f>
        <v>114.16000000000001</v>
      </c>
      <c r="K54" s="329">
        <f t="shared" si="7"/>
        <v>1131.25</v>
      </c>
      <c r="L54" s="328">
        <v>226.25</v>
      </c>
      <c r="M54" s="330">
        <f t="shared" si="5"/>
        <v>1357.5</v>
      </c>
      <c r="N54" s="336"/>
      <c r="Q54" s="49"/>
    </row>
    <row r="55" spans="1:17" s="61" customFormat="1" ht="17.25" customHeight="1">
      <c r="A55" s="168" t="s">
        <v>200</v>
      </c>
      <c r="B55" s="169" t="s">
        <v>140</v>
      </c>
      <c r="C55" s="170" t="s">
        <v>201</v>
      </c>
      <c r="D55" s="171">
        <v>872.5</v>
      </c>
      <c r="E55" s="327">
        <v>7.96</v>
      </c>
      <c r="F55" s="328">
        <v>876.63</v>
      </c>
      <c r="G55" s="327">
        <v>358.81</v>
      </c>
      <c r="H55" s="327">
        <v>13.94</v>
      </c>
      <c r="I55" s="328">
        <f t="shared" si="0"/>
        <v>1249.3800000000001</v>
      </c>
      <c r="J55" s="327">
        <f>140.23+0.06</f>
        <v>140.29</v>
      </c>
      <c r="K55" s="329">
        <f>I55+J55</f>
        <v>1389.67</v>
      </c>
      <c r="L55" s="328">
        <v>277.93</v>
      </c>
      <c r="M55" s="330">
        <f t="shared" si="5"/>
        <v>1667.6000000000001</v>
      </c>
      <c r="N55" s="336"/>
      <c r="Q55" s="49"/>
    </row>
    <row r="56" spans="1:17" s="62" customFormat="1" ht="17.25" customHeight="1">
      <c r="A56" s="168" t="s">
        <v>202</v>
      </c>
      <c r="B56" s="169" t="s">
        <v>143</v>
      </c>
      <c r="C56" s="170" t="s">
        <v>203</v>
      </c>
      <c r="D56" s="171">
        <v>1099.3900000000001</v>
      </c>
      <c r="E56" s="327">
        <v>10.029999999999999</v>
      </c>
      <c r="F56" s="328">
        <v>1104.5999999999999</v>
      </c>
      <c r="G56" s="327">
        <v>452.15</v>
      </c>
      <c r="H56" s="327">
        <v>17.55</v>
      </c>
      <c r="I56" s="328">
        <f t="shared" si="0"/>
        <v>1574.3</v>
      </c>
      <c r="J56" s="327">
        <v>176.62</v>
      </c>
      <c r="K56" s="329">
        <f>I56+J56</f>
        <v>1750.92</v>
      </c>
      <c r="L56" s="328">
        <v>350.18</v>
      </c>
      <c r="M56" s="330">
        <f t="shared" si="5"/>
        <v>2101.1</v>
      </c>
      <c r="N56" s="337"/>
      <c r="Q56" s="49"/>
    </row>
    <row r="57" spans="1:17" s="62" customFormat="1" ht="17.25" customHeight="1">
      <c r="A57" s="168" t="s">
        <v>204</v>
      </c>
      <c r="B57" s="169" t="s">
        <v>205</v>
      </c>
      <c r="C57" s="170" t="s">
        <v>206</v>
      </c>
      <c r="D57" s="171">
        <v>1242.98</v>
      </c>
      <c r="E57" s="327">
        <v>11.34</v>
      </c>
      <c r="F57" s="328">
        <v>1248.8699999999999</v>
      </c>
      <c r="G57" s="327">
        <v>511.19</v>
      </c>
      <c r="H57" s="327">
        <v>19.86</v>
      </c>
      <c r="I57" s="328">
        <f t="shared" si="0"/>
        <v>1779.9199999999998</v>
      </c>
      <c r="J57" s="327">
        <f>199.8+0.03</f>
        <v>199.83</v>
      </c>
      <c r="K57" s="329">
        <f t="shared" si="3"/>
        <v>1979.7499999999998</v>
      </c>
      <c r="L57" s="328">
        <v>395.95</v>
      </c>
      <c r="M57" s="330">
        <f t="shared" si="5"/>
        <v>2375.6999999999998</v>
      </c>
      <c r="N57" s="337"/>
      <c r="Q57" s="49"/>
    </row>
    <row r="58" spans="1:17" ht="17.25" customHeight="1">
      <c r="A58" s="168" t="s">
        <v>207</v>
      </c>
      <c r="B58" s="169" t="s">
        <v>208</v>
      </c>
      <c r="C58" s="170" t="s">
        <v>209</v>
      </c>
      <c r="D58" s="171">
        <v>1405.2</v>
      </c>
      <c r="E58" s="327">
        <v>12.82</v>
      </c>
      <c r="F58" s="328">
        <v>1411.87</v>
      </c>
      <c r="G58" s="327">
        <v>577.91</v>
      </c>
      <c r="H58" s="327">
        <v>22.45</v>
      </c>
      <c r="I58" s="328">
        <f t="shared" si="0"/>
        <v>2012.2299999999998</v>
      </c>
      <c r="J58" s="327">
        <f>225.88+0.06</f>
        <v>225.94</v>
      </c>
      <c r="K58" s="329">
        <f>I58+J58</f>
        <v>2238.1699999999996</v>
      </c>
      <c r="L58" s="328">
        <v>447.63</v>
      </c>
      <c r="M58" s="330">
        <f t="shared" si="5"/>
        <v>2685.7999999999997</v>
      </c>
      <c r="Q58" s="49"/>
    </row>
    <row r="59" spans="1:17" ht="17.25" customHeight="1">
      <c r="A59" s="168" t="s">
        <v>210</v>
      </c>
      <c r="B59" s="169" t="s">
        <v>211</v>
      </c>
      <c r="C59" s="170" t="s">
        <v>212</v>
      </c>
      <c r="D59" s="171">
        <v>1811.85</v>
      </c>
      <c r="E59" s="327">
        <v>16.53</v>
      </c>
      <c r="F59" s="328">
        <v>1820.45</v>
      </c>
      <c r="G59" s="327">
        <v>745.16</v>
      </c>
      <c r="H59" s="327">
        <v>28.93</v>
      </c>
      <c r="I59" s="328">
        <f t="shared" si="0"/>
        <v>2594.54</v>
      </c>
      <c r="J59" s="327">
        <f>291.09+0.04</f>
        <v>291.13</v>
      </c>
      <c r="K59" s="329">
        <f>I59+J59</f>
        <v>2885.67</v>
      </c>
      <c r="L59" s="328">
        <v>577.13</v>
      </c>
      <c r="M59" s="330">
        <f t="shared" si="5"/>
        <v>3462.8</v>
      </c>
      <c r="Q59" s="49"/>
    </row>
    <row r="60" spans="1:17" ht="17.25" customHeight="1">
      <c r="A60" s="168" t="s">
        <v>213</v>
      </c>
      <c r="B60" s="169" t="s">
        <v>214</v>
      </c>
      <c r="C60" s="170" t="s">
        <v>215</v>
      </c>
      <c r="D60" s="171">
        <v>1914.89</v>
      </c>
      <c r="E60" s="327">
        <v>17.47</v>
      </c>
      <c r="F60" s="328">
        <v>1923.97</v>
      </c>
      <c r="G60" s="327">
        <v>787.52</v>
      </c>
      <c r="H60" s="327">
        <v>30.58</v>
      </c>
      <c r="I60" s="328">
        <f t="shared" si="0"/>
        <v>2742.0699999999997</v>
      </c>
      <c r="J60" s="327">
        <f>307.67+0.01</f>
        <v>307.68</v>
      </c>
      <c r="K60" s="329">
        <f t="shared" si="3"/>
        <v>3049.7499999999995</v>
      </c>
      <c r="L60" s="328">
        <v>609.95000000000005</v>
      </c>
      <c r="M60" s="330">
        <f t="shared" si="5"/>
        <v>3659.7</v>
      </c>
      <c r="Q60" s="49"/>
    </row>
    <row r="61" spans="1:17" ht="17.25" customHeight="1">
      <c r="A61" s="168" t="s">
        <v>216</v>
      </c>
      <c r="B61" s="169" t="s">
        <v>217</v>
      </c>
      <c r="C61" s="170" t="s">
        <v>218</v>
      </c>
      <c r="D61" s="171">
        <v>2044.23</v>
      </c>
      <c r="E61" s="327">
        <v>18.649999999999999</v>
      </c>
      <c r="F61" s="328">
        <v>2053.92</v>
      </c>
      <c r="G61" s="327">
        <v>840.72</v>
      </c>
      <c r="H61" s="327">
        <v>32.64</v>
      </c>
      <c r="I61" s="328">
        <f t="shared" si="0"/>
        <v>2927.28</v>
      </c>
      <c r="J61" s="327">
        <f>328.44+0.03</f>
        <v>328.46999999999997</v>
      </c>
      <c r="K61" s="329">
        <f>I61+J61</f>
        <v>3255.75</v>
      </c>
      <c r="L61" s="328">
        <v>651.15</v>
      </c>
      <c r="M61" s="330">
        <f t="shared" si="5"/>
        <v>3906.9</v>
      </c>
      <c r="Q61" s="49"/>
    </row>
    <row r="62" spans="1:17" ht="19.5" customHeight="1">
      <c r="A62" s="168" t="s">
        <v>219</v>
      </c>
      <c r="B62" s="169" t="s">
        <v>306</v>
      </c>
      <c r="C62" s="170"/>
      <c r="D62" s="172"/>
      <c r="E62" s="327"/>
      <c r="F62" s="327"/>
      <c r="G62" s="327"/>
      <c r="H62" s="327"/>
      <c r="I62" s="328"/>
      <c r="J62" s="327"/>
      <c r="K62" s="329"/>
      <c r="L62" s="328"/>
      <c r="M62" s="330"/>
      <c r="Q62" s="49"/>
    </row>
    <row r="63" spans="1:17" ht="17.25" customHeight="1">
      <c r="A63" s="168" t="s">
        <v>43</v>
      </c>
      <c r="B63" s="169" t="s">
        <v>191</v>
      </c>
      <c r="C63" s="170" t="s">
        <v>221</v>
      </c>
      <c r="D63" s="171">
        <v>241.48</v>
      </c>
      <c r="E63" s="327">
        <v>2.69</v>
      </c>
      <c r="F63" s="328">
        <v>242.64</v>
      </c>
      <c r="G63" s="327">
        <v>115.62</v>
      </c>
      <c r="H63" s="327">
        <v>4.75</v>
      </c>
      <c r="I63" s="328">
        <f t="shared" si="0"/>
        <v>363.01</v>
      </c>
      <c r="J63" s="327">
        <v>47.82</v>
      </c>
      <c r="K63" s="329">
        <f>I63+J63</f>
        <v>410.83</v>
      </c>
      <c r="L63" s="328">
        <v>82.17</v>
      </c>
      <c r="M63" s="330">
        <f t="shared" si="5"/>
        <v>493</v>
      </c>
      <c r="Q63" s="49"/>
    </row>
    <row r="64" spans="1:17" ht="17.25" customHeight="1">
      <c r="A64" s="168" t="s">
        <v>45</v>
      </c>
      <c r="B64" s="169" t="s">
        <v>107</v>
      </c>
      <c r="C64" s="170" t="s">
        <v>222</v>
      </c>
      <c r="D64" s="171">
        <v>433.59</v>
      </c>
      <c r="E64" s="327">
        <v>4.83</v>
      </c>
      <c r="F64" s="328">
        <v>435.67</v>
      </c>
      <c r="G64" s="327">
        <v>207.59</v>
      </c>
      <c r="H64" s="327">
        <v>8.5399999999999991</v>
      </c>
      <c r="I64" s="328">
        <f t="shared" si="0"/>
        <v>651.79999999999995</v>
      </c>
      <c r="J64" s="327">
        <f>85.97+0.06</f>
        <v>86.03</v>
      </c>
      <c r="K64" s="329">
        <f>I64+J64</f>
        <v>737.82999999999993</v>
      </c>
      <c r="L64" s="328">
        <v>147.57</v>
      </c>
      <c r="M64" s="330">
        <f t="shared" si="5"/>
        <v>885.39999999999986</v>
      </c>
      <c r="Q64" s="49"/>
    </row>
    <row r="65" spans="1:17" ht="18.75" customHeight="1">
      <c r="A65" s="168" t="s">
        <v>223</v>
      </c>
      <c r="B65" s="169" t="s">
        <v>224</v>
      </c>
      <c r="C65" s="170" t="s">
        <v>225</v>
      </c>
      <c r="D65" s="171">
        <v>93.36</v>
      </c>
      <c r="E65" s="327">
        <v>1.04</v>
      </c>
      <c r="F65" s="328">
        <v>93.81</v>
      </c>
      <c r="G65" s="327">
        <v>44.7</v>
      </c>
      <c r="H65" s="327">
        <v>1.84</v>
      </c>
      <c r="I65" s="328">
        <f t="shared" si="0"/>
        <v>140.35</v>
      </c>
      <c r="J65" s="327">
        <f>18.52+0.05</f>
        <v>18.57</v>
      </c>
      <c r="K65" s="329">
        <f>I65+J65</f>
        <v>158.91999999999999</v>
      </c>
      <c r="L65" s="328">
        <v>31.78</v>
      </c>
      <c r="M65" s="330">
        <f t="shared" si="5"/>
        <v>190.7</v>
      </c>
      <c r="Q65" s="49"/>
    </row>
    <row r="66" spans="1:17" ht="20.25" customHeight="1" thickBot="1">
      <c r="A66" s="174" t="s">
        <v>49</v>
      </c>
      <c r="B66" s="175" t="s">
        <v>226</v>
      </c>
      <c r="C66" s="176" t="s">
        <v>227</v>
      </c>
      <c r="D66" s="177">
        <v>161.59</v>
      </c>
      <c r="E66" s="338">
        <v>1.8</v>
      </c>
      <c r="F66" s="339">
        <v>162.36000000000001</v>
      </c>
      <c r="G66" s="338">
        <v>77.36</v>
      </c>
      <c r="H66" s="338">
        <v>3.18</v>
      </c>
      <c r="I66" s="339">
        <f t="shared" si="0"/>
        <v>242.90000000000003</v>
      </c>
      <c r="J66" s="338">
        <f>32.04+0.06</f>
        <v>32.1</v>
      </c>
      <c r="K66" s="340">
        <f>I66+J66</f>
        <v>275.00000000000006</v>
      </c>
      <c r="L66" s="339">
        <v>55</v>
      </c>
      <c r="M66" s="341">
        <f t="shared" si="5"/>
        <v>330.00000000000006</v>
      </c>
      <c r="Q66" s="49"/>
    </row>
    <row r="67" spans="1:17">
      <c r="A67" s="121"/>
      <c r="B67" s="122"/>
      <c r="C67" s="123"/>
      <c r="D67" s="122"/>
      <c r="E67" s="122"/>
      <c r="F67" s="122"/>
      <c r="G67" s="122"/>
      <c r="H67" s="122"/>
      <c r="I67" s="304"/>
      <c r="J67" s="122"/>
      <c r="K67" s="304"/>
      <c r="L67" s="304"/>
      <c r="M67" s="304"/>
      <c r="Q67" s="49"/>
    </row>
    <row r="68" spans="1:17">
      <c r="A68" s="121"/>
      <c r="B68" s="122"/>
      <c r="C68" s="123"/>
      <c r="D68" s="122"/>
      <c r="E68" s="122"/>
      <c r="F68" s="122"/>
      <c r="G68" s="122"/>
      <c r="H68" s="122"/>
      <c r="I68" s="304"/>
      <c r="J68" s="122"/>
      <c r="K68" s="304"/>
      <c r="L68" s="304"/>
      <c r="M68" s="304"/>
      <c r="Q68" s="49"/>
    </row>
    <row r="69" spans="1:17" ht="17.45">
      <c r="A69" s="182"/>
      <c r="B69" s="125" t="s">
        <v>307</v>
      </c>
      <c r="C69" s="123"/>
      <c r="D69" s="122"/>
      <c r="E69" s="122"/>
      <c r="F69" s="122"/>
      <c r="G69" s="122"/>
      <c r="H69" s="122"/>
      <c r="I69" s="304"/>
      <c r="J69" s="183" t="s">
        <v>308</v>
      </c>
      <c r="K69" s="342"/>
      <c r="L69" s="343"/>
      <c r="M69" s="344"/>
      <c r="Q69" s="49"/>
    </row>
    <row r="70" spans="1:17" ht="15.6">
      <c r="A70" s="182"/>
      <c r="B70" s="122"/>
      <c r="C70" s="123"/>
      <c r="D70" s="122"/>
      <c r="E70" s="122"/>
      <c r="F70" s="122"/>
      <c r="G70" s="122"/>
      <c r="H70" s="122"/>
      <c r="I70" s="304"/>
      <c r="J70" s="122"/>
      <c r="K70" s="342"/>
      <c r="L70" s="343"/>
      <c r="M70" s="344"/>
      <c r="Q70" s="49"/>
    </row>
    <row r="71" spans="1:17" ht="17.45">
      <c r="A71" s="187"/>
      <c r="B71" s="125" t="s">
        <v>309</v>
      </c>
      <c r="C71" s="142"/>
      <c r="D71" s="142"/>
      <c r="E71" s="142"/>
      <c r="F71" s="142"/>
      <c r="G71" s="142"/>
      <c r="H71" s="142"/>
      <c r="I71" s="345"/>
      <c r="J71" s="183" t="str">
        <f>'[3]МР1 ТУ'!K21</f>
        <v>Л. С. Голуб</v>
      </c>
      <c r="K71" s="346"/>
      <c r="L71" s="346"/>
      <c r="M71" s="346"/>
      <c r="Q71" s="49"/>
    </row>
    <row r="72" spans="1:17" ht="17.45">
      <c r="A72" s="121"/>
      <c r="B72" s="125"/>
      <c r="C72" s="142"/>
      <c r="D72" s="142"/>
      <c r="E72" s="142"/>
      <c r="F72" s="142"/>
      <c r="G72" s="142"/>
      <c r="H72" s="142"/>
      <c r="I72" s="345"/>
      <c r="J72" s="189"/>
      <c r="K72" s="346"/>
      <c r="L72" s="346"/>
      <c r="M72" s="346"/>
      <c r="Q72" s="49"/>
    </row>
    <row r="73" spans="1:17">
      <c r="A73" s="121"/>
      <c r="B73" s="190"/>
      <c r="C73" s="191"/>
      <c r="D73" s="192"/>
      <c r="E73" s="192"/>
      <c r="F73" s="193"/>
      <c r="G73" s="188"/>
      <c r="H73" s="188"/>
      <c r="I73" s="346"/>
      <c r="J73" s="188"/>
      <c r="K73" s="347"/>
      <c r="L73" s="347"/>
      <c r="M73" s="347"/>
      <c r="Q73" s="49"/>
    </row>
    <row r="74" spans="1:17">
      <c r="B74" s="195" t="s">
        <v>310</v>
      </c>
      <c r="C74" s="191"/>
      <c r="D74" s="196"/>
      <c r="E74" s="196"/>
      <c r="F74" s="193"/>
      <c r="G74" s="188"/>
      <c r="H74" s="188"/>
      <c r="I74" s="346"/>
      <c r="J74" s="188"/>
      <c r="K74" s="348"/>
      <c r="L74" s="348"/>
      <c r="M74" s="348"/>
      <c r="Q74" s="49"/>
    </row>
    <row r="75" spans="1:17">
      <c r="B75" s="195" t="s">
        <v>311</v>
      </c>
      <c r="C75" s="197"/>
      <c r="D75" s="198"/>
      <c r="E75" s="198"/>
      <c r="F75" s="199"/>
      <c r="G75" s="194"/>
      <c r="H75" s="194"/>
      <c r="I75" s="347"/>
      <c r="J75" s="194"/>
      <c r="K75" s="349"/>
      <c r="L75" s="349"/>
      <c r="M75" s="349"/>
    </row>
    <row r="76" spans="1:17">
      <c r="B76" s="85"/>
      <c r="C76" s="86"/>
      <c r="D76" s="85"/>
      <c r="E76" s="85"/>
      <c r="F76" s="87"/>
      <c r="G76" s="48"/>
      <c r="H76" s="48"/>
      <c r="I76" s="349"/>
      <c r="J76" s="48"/>
      <c r="K76" s="349"/>
      <c r="L76" s="349"/>
      <c r="M76" s="349"/>
    </row>
  </sheetData>
  <mergeCells count="5">
    <mergeCell ref="A5:B5"/>
    <mergeCell ref="L5:M5"/>
    <mergeCell ref="A7:M7"/>
    <mergeCell ref="A8:M8"/>
    <mergeCell ref="A10:B10"/>
  </mergeCells>
  <pageMargins left="0.7" right="0.7" top="0.75" bottom="0.75" header="0.3" footer="0.3"/>
  <ignoredErrors>
    <ignoredError sqref="M19:M24" formula="1"/>
  </ignoredErrors>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I31" sqref="I31"/>
    </sheetView>
  </sheetViews>
  <sheetFormatPr defaultRowHeight="13.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73"/>
  <sheetViews>
    <sheetView topLeftCell="A18" workbookViewId="0">
      <selection activeCell="S32" sqref="S32"/>
    </sheetView>
  </sheetViews>
  <sheetFormatPr defaultRowHeight="15"/>
  <cols>
    <col min="1" max="1" width="6.28515625" style="73" customWidth="1"/>
    <col min="2" max="2" width="59" customWidth="1"/>
    <col min="3" max="3" width="14" style="88" hidden="1" customWidth="1"/>
    <col min="4" max="4" width="11.5703125" hidden="1" customWidth="1"/>
    <col min="5" max="6" width="11.42578125" hidden="1" customWidth="1"/>
    <col min="7" max="7" width="12.5703125" hidden="1" customWidth="1"/>
    <col min="8" max="8" width="11.42578125" hidden="1" customWidth="1"/>
    <col min="9" max="9" width="0" hidden="1" customWidth="1"/>
    <col min="10" max="10" width="11.85546875" hidden="1" customWidth="1"/>
    <col min="12" max="12" width="0" hidden="1" customWidth="1"/>
    <col min="13" max="13" width="11.140625" customWidth="1"/>
    <col min="14" max="14" width="12.7109375" hidden="1" customWidth="1"/>
    <col min="15" max="15" width="11.42578125" style="6" hidden="1" customWidth="1"/>
    <col min="16" max="16" width="12.28515625" style="6" customWidth="1"/>
    <col min="17" max="17" width="12.140625" customWidth="1"/>
  </cols>
  <sheetData>
    <row r="1" spans="1:22" ht="19.5" hidden="1" customHeight="1">
      <c r="A1" s="692" t="s">
        <v>318</v>
      </c>
      <c r="B1" s="692"/>
      <c r="C1" s="1"/>
      <c r="D1" s="2"/>
      <c r="E1" s="2"/>
      <c r="F1" s="3"/>
      <c r="G1" s="4"/>
      <c r="H1" s="4"/>
      <c r="I1" s="4"/>
      <c r="J1" s="690" t="s">
        <v>296</v>
      </c>
      <c r="K1" s="690"/>
      <c r="L1" s="690"/>
      <c r="M1" s="690"/>
      <c r="N1" s="5"/>
    </row>
    <row r="2" spans="1:22" s="11" customFormat="1" ht="32.25" hidden="1" customHeight="1">
      <c r="A2" s="693" t="s">
        <v>319</v>
      </c>
      <c r="B2" s="693"/>
      <c r="C2" s="7"/>
      <c r="D2" s="8"/>
      <c r="E2" s="8"/>
      <c r="F2" s="9"/>
      <c r="G2" s="10"/>
      <c r="H2" s="10"/>
      <c r="J2" s="694" t="s">
        <v>320</v>
      </c>
      <c r="K2" s="694"/>
      <c r="L2" s="694"/>
      <c r="M2" s="694"/>
      <c r="N2" s="12"/>
      <c r="O2" s="13"/>
      <c r="P2" s="13"/>
    </row>
    <row r="3" spans="1:22" s="11" customFormat="1" ht="21.75" hidden="1" customHeight="1">
      <c r="A3" s="695" t="s">
        <v>321</v>
      </c>
      <c r="B3" s="695"/>
      <c r="C3" s="14"/>
      <c r="D3" s="8"/>
      <c r="E3" s="8"/>
      <c r="F3" s="9"/>
      <c r="G3" s="10"/>
      <c r="H3" s="10"/>
      <c r="I3" s="696" t="s">
        <v>322</v>
      </c>
      <c r="J3" s="696"/>
      <c r="K3" s="696"/>
      <c r="L3" s="696"/>
      <c r="M3" s="696"/>
      <c r="N3" s="5"/>
      <c r="O3" s="15"/>
      <c r="P3" s="16"/>
    </row>
    <row r="4" spans="1:22" s="11" customFormat="1" ht="27" hidden="1" customHeight="1">
      <c r="A4" s="17"/>
      <c r="B4" s="17"/>
      <c r="C4" s="18"/>
      <c r="D4" s="19"/>
      <c r="E4" s="19"/>
      <c r="F4" s="9"/>
      <c r="G4" s="10"/>
      <c r="H4" s="10"/>
      <c r="I4" s="18"/>
      <c r="J4" s="18"/>
      <c r="K4" s="18"/>
      <c r="L4" s="18"/>
      <c r="M4" s="18"/>
      <c r="N4" s="5"/>
      <c r="O4" s="15"/>
      <c r="P4" s="16"/>
    </row>
    <row r="5" spans="1:22" s="11" customFormat="1" ht="18" customHeight="1">
      <c r="A5" s="689" t="s">
        <v>323</v>
      </c>
      <c r="B5" s="689"/>
      <c r="C5" s="689"/>
      <c r="D5" s="689"/>
      <c r="E5" s="689"/>
      <c r="F5" s="689"/>
      <c r="G5" s="689"/>
      <c r="H5" s="689"/>
      <c r="I5" s="689"/>
      <c r="J5" s="689"/>
      <c r="K5" s="689"/>
      <c r="L5" s="689"/>
      <c r="M5" s="689"/>
      <c r="N5" s="20"/>
      <c r="O5" s="16"/>
      <c r="P5" s="16"/>
    </row>
    <row r="6" spans="1:22" s="11" customFormat="1" ht="40.5" customHeight="1">
      <c r="A6" s="690" t="s">
        <v>324</v>
      </c>
      <c r="B6" s="690"/>
      <c r="C6" s="690"/>
      <c r="D6" s="690"/>
      <c r="E6" s="690"/>
      <c r="F6" s="690"/>
      <c r="G6" s="690"/>
      <c r="H6" s="690"/>
      <c r="I6" s="690"/>
      <c r="J6" s="690"/>
      <c r="K6" s="690"/>
      <c r="L6" s="690"/>
      <c r="M6" s="690"/>
      <c r="N6" s="21"/>
      <c r="O6" s="16"/>
      <c r="P6" s="16"/>
    </row>
    <row r="7" spans="1:22" s="11" customFormat="1" ht="15.75" customHeight="1" thickBot="1">
      <c r="A7" s="2"/>
      <c r="B7" s="2"/>
      <c r="C7" s="2"/>
      <c r="D7" s="2"/>
      <c r="E7" s="2"/>
      <c r="F7" s="2"/>
      <c r="G7" s="2"/>
      <c r="H7" s="2"/>
      <c r="I7" s="2"/>
      <c r="J7" s="2"/>
      <c r="K7" s="2"/>
      <c r="L7" s="2"/>
      <c r="M7" s="2"/>
      <c r="N7" s="21"/>
      <c r="O7" s="16"/>
      <c r="P7" s="16"/>
    </row>
    <row r="8" spans="1:22" s="11" customFormat="1" ht="20.25" hidden="1" customHeight="1" thickBot="1">
      <c r="A8" s="691" t="s">
        <v>325</v>
      </c>
      <c r="B8" s="691"/>
      <c r="C8" s="22"/>
      <c r="D8" s="23"/>
      <c r="E8" s="23"/>
      <c r="F8" s="10"/>
      <c r="G8" s="10"/>
      <c r="H8" s="10"/>
      <c r="I8" s="10"/>
      <c r="J8" s="10"/>
      <c r="K8" s="24" t="s">
        <v>81</v>
      </c>
      <c r="L8" s="10"/>
      <c r="M8" s="10"/>
      <c r="N8" s="25"/>
      <c r="O8" s="16"/>
      <c r="P8" s="16"/>
    </row>
    <row r="9" spans="1:22" ht="50.25" customHeight="1" thickBot="1">
      <c r="A9" s="26" t="s">
        <v>326</v>
      </c>
      <c r="B9" s="27"/>
      <c r="C9" s="28" t="s">
        <v>327</v>
      </c>
      <c r="D9" s="29" t="s">
        <v>300</v>
      </c>
      <c r="E9" s="30" t="s">
        <v>328</v>
      </c>
      <c r="F9" s="29" t="s">
        <v>329</v>
      </c>
      <c r="G9" s="29" t="s">
        <v>87</v>
      </c>
      <c r="H9" s="29" t="s">
        <v>88</v>
      </c>
      <c r="I9" s="29" t="s">
        <v>89</v>
      </c>
      <c r="J9" s="29" t="s">
        <v>330</v>
      </c>
      <c r="K9" s="31" t="s">
        <v>331</v>
      </c>
      <c r="L9" s="31" t="s">
        <v>92</v>
      </c>
      <c r="M9" s="32" t="s">
        <v>332</v>
      </c>
      <c r="N9" s="33">
        <v>42863</v>
      </c>
      <c r="O9"/>
      <c r="P9"/>
    </row>
    <row r="10" spans="1:22" ht="15.75" customHeight="1">
      <c r="A10" s="34" t="s">
        <v>94</v>
      </c>
      <c r="B10" s="35" t="s">
        <v>301</v>
      </c>
      <c r="C10" s="36"/>
      <c r="D10" s="37"/>
      <c r="E10" s="37"/>
      <c r="F10" s="37"/>
      <c r="G10" s="37"/>
      <c r="H10" s="37"/>
      <c r="I10" s="37"/>
      <c r="J10" s="37"/>
      <c r="K10" s="38"/>
      <c r="L10" s="38"/>
      <c r="M10" s="39"/>
      <c r="O10"/>
      <c r="P10"/>
    </row>
    <row r="11" spans="1:22" ht="15.75" customHeight="1">
      <c r="A11" s="40" t="s">
        <v>97</v>
      </c>
      <c r="B11" s="41" t="s">
        <v>333</v>
      </c>
      <c r="C11" s="42" t="s">
        <v>99</v>
      </c>
      <c r="D11" s="43">
        <f>F11</f>
        <v>417.32</v>
      </c>
      <c r="E11" s="44">
        <v>8.94</v>
      </c>
      <c r="F11" s="45">
        <v>417.32</v>
      </c>
      <c r="G11" s="45">
        <v>194.64</v>
      </c>
      <c r="H11" s="45">
        <v>12.15</v>
      </c>
      <c r="I11" s="43">
        <f>F11+G11+H11</f>
        <v>624.11</v>
      </c>
      <c r="J11" s="45">
        <v>26.77</v>
      </c>
      <c r="K11" s="43">
        <f>I11+J11</f>
        <v>650.88</v>
      </c>
      <c r="L11" s="46">
        <f>K11*0.2</f>
        <v>130.17600000000002</v>
      </c>
      <c r="M11" s="47">
        <f>K11+L11</f>
        <v>781.05600000000004</v>
      </c>
      <c r="N11" s="48">
        <v>658.19</v>
      </c>
      <c r="O11" s="48">
        <f>M11/N11</f>
        <v>1.186672541363436</v>
      </c>
      <c r="P11" s="99">
        <f>K11+$K$64</f>
        <v>763.17</v>
      </c>
      <c r="Q11" s="100">
        <f>M11+$M$64</f>
        <v>915.80400000000009</v>
      </c>
      <c r="V11" s="49"/>
    </row>
    <row r="12" spans="1:22" ht="15.75" customHeight="1">
      <c r="A12" s="40" t="s">
        <v>100</v>
      </c>
      <c r="B12" s="41" t="s">
        <v>334</v>
      </c>
      <c r="C12" s="42" t="s">
        <v>102</v>
      </c>
      <c r="D12" s="43">
        <f t="shared" ref="D12:D14" si="0">F12</f>
        <v>543.82000000000005</v>
      </c>
      <c r="E12" s="44">
        <v>11.65</v>
      </c>
      <c r="F12" s="45">
        <v>543.82000000000005</v>
      </c>
      <c r="G12" s="45">
        <v>253.64</v>
      </c>
      <c r="H12" s="45">
        <v>15.83</v>
      </c>
      <c r="I12" s="43">
        <f t="shared" ref="I12:I64" si="1">F12+G12+H12</f>
        <v>813.29000000000008</v>
      </c>
      <c r="J12" s="45">
        <v>34.880000000000003</v>
      </c>
      <c r="K12" s="43">
        <f t="shared" ref="K12:K64" si="2">I12+J12</f>
        <v>848.17000000000007</v>
      </c>
      <c r="L12" s="46">
        <f t="shared" ref="L12:L64" si="3">K12*0.2</f>
        <v>169.63400000000001</v>
      </c>
      <c r="M12" s="47">
        <f t="shared" ref="M12:M64" si="4">K12+L12</f>
        <v>1017.8040000000001</v>
      </c>
      <c r="N12" s="48">
        <v>857.66</v>
      </c>
      <c r="O12" s="48">
        <f t="shared" ref="O12:O64" si="5">M12/N12</f>
        <v>1.1867220110533312</v>
      </c>
      <c r="P12" s="99">
        <f t="shared" ref="P12:P14" si="6">K12+$K$64</f>
        <v>960.46</v>
      </c>
      <c r="Q12" s="100">
        <f t="shared" ref="Q12:Q14" si="7">M12+$M$64</f>
        <v>1152.5520000000001</v>
      </c>
      <c r="V12" s="49"/>
    </row>
    <row r="13" spans="1:22" ht="15.75" customHeight="1">
      <c r="A13" s="40" t="s">
        <v>103</v>
      </c>
      <c r="B13" s="41" t="s">
        <v>335</v>
      </c>
      <c r="C13" s="42" t="s">
        <v>105</v>
      </c>
      <c r="D13" s="43">
        <f t="shared" si="0"/>
        <v>688.53</v>
      </c>
      <c r="E13" s="44">
        <v>14.75</v>
      </c>
      <c r="F13" s="45">
        <v>688.53</v>
      </c>
      <c r="G13" s="45">
        <v>321.14</v>
      </c>
      <c r="H13" s="45">
        <v>20.05</v>
      </c>
      <c r="I13" s="43">
        <f t="shared" si="1"/>
        <v>1029.72</v>
      </c>
      <c r="J13" s="45">
        <v>44.17</v>
      </c>
      <c r="K13" s="43">
        <f t="shared" si="2"/>
        <v>1073.8900000000001</v>
      </c>
      <c r="L13" s="46">
        <f t="shared" si="3"/>
        <v>214.77800000000002</v>
      </c>
      <c r="M13" s="47">
        <f t="shared" si="4"/>
        <v>1288.6680000000001</v>
      </c>
      <c r="N13" s="48">
        <v>1085.8900000000001</v>
      </c>
      <c r="O13" s="48">
        <f t="shared" si="5"/>
        <v>1.1867389882953154</v>
      </c>
      <c r="P13" s="101">
        <f t="shared" si="6"/>
        <v>1186.18</v>
      </c>
      <c r="Q13" s="102">
        <f t="shared" si="7"/>
        <v>1423.4160000000002</v>
      </c>
      <c r="V13" s="49"/>
    </row>
    <row r="14" spans="1:22" ht="15.75" customHeight="1">
      <c r="A14" s="40" t="s">
        <v>106</v>
      </c>
      <c r="B14" s="41" t="s">
        <v>336</v>
      </c>
      <c r="C14" s="42" t="s">
        <v>108</v>
      </c>
      <c r="D14" s="43">
        <f t="shared" si="0"/>
        <v>815.5</v>
      </c>
      <c r="E14" s="44">
        <v>17.47</v>
      </c>
      <c r="F14" s="43">
        <v>815.5</v>
      </c>
      <c r="G14" s="45">
        <v>380.36</v>
      </c>
      <c r="H14" s="45">
        <v>23.74</v>
      </c>
      <c r="I14" s="43">
        <f t="shared" si="1"/>
        <v>1219.6000000000001</v>
      </c>
      <c r="J14" s="43">
        <v>52.3</v>
      </c>
      <c r="K14" s="43">
        <f t="shared" si="2"/>
        <v>1271.9000000000001</v>
      </c>
      <c r="L14" s="46">
        <f t="shared" si="3"/>
        <v>254.38000000000002</v>
      </c>
      <c r="M14" s="47">
        <f t="shared" si="4"/>
        <v>1526.2800000000002</v>
      </c>
      <c r="N14" s="48">
        <v>1286.1099999999999</v>
      </c>
      <c r="O14" s="48">
        <f t="shared" si="5"/>
        <v>1.1867414140314594</v>
      </c>
      <c r="P14" s="103">
        <f t="shared" si="6"/>
        <v>1384.19</v>
      </c>
      <c r="Q14" s="104">
        <f t="shared" si="7"/>
        <v>1661.0280000000002</v>
      </c>
      <c r="V14" s="49"/>
    </row>
    <row r="15" spans="1:22" ht="15.75" customHeight="1">
      <c r="A15" s="40" t="s">
        <v>109</v>
      </c>
      <c r="B15" s="41" t="s">
        <v>337</v>
      </c>
      <c r="C15" s="42"/>
      <c r="D15" s="45"/>
      <c r="E15" s="45"/>
      <c r="F15" s="45"/>
      <c r="G15" s="45"/>
      <c r="H15" s="45"/>
      <c r="I15" s="43"/>
      <c r="J15" s="50"/>
      <c r="K15" s="43"/>
      <c r="L15" s="46"/>
      <c r="M15" s="47"/>
      <c r="N15" s="48"/>
      <c r="O15" s="48"/>
      <c r="P15" s="96"/>
      <c r="Q15" s="4"/>
      <c r="V15" s="49"/>
    </row>
    <row r="16" spans="1:22" ht="15.75" customHeight="1">
      <c r="A16" s="51" t="s">
        <v>10</v>
      </c>
      <c r="B16" s="52" t="s">
        <v>338</v>
      </c>
      <c r="C16" s="53" t="s">
        <v>112</v>
      </c>
      <c r="D16" s="44">
        <f t="shared" ref="D16:D22" si="8">F16</f>
        <v>193.26</v>
      </c>
      <c r="E16" s="44">
        <v>4.1399999999999997</v>
      </c>
      <c r="F16" s="45">
        <v>193.26</v>
      </c>
      <c r="G16" s="54">
        <v>90.13</v>
      </c>
      <c r="H16" s="54">
        <v>5.62</v>
      </c>
      <c r="I16" s="43">
        <f t="shared" si="1"/>
        <v>289.01</v>
      </c>
      <c r="J16" s="54">
        <v>12.38</v>
      </c>
      <c r="K16" s="43">
        <f t="shared" si="2"/>
        <v>301.39</v>
      </c>
      <c r="L16" s="46">
        <f t="shared" si="3"/>
        <v>60.277999999999999</v>
      </c>
      <c r="M16" s="47">
        <f t="shared" si="4"/>
        <v>361.66800000000001</v>
      </c>
      <c r="N16" s="48">
        <v>304.76</v>
      </c>
      <c r="O16" s="48">
        <f t="shared" si="5"/>
        <v>1.186730542065888</v>
      </c>
      <c r="P16" s="99">
        <f>K16+$K$64</f>
        <v>413.68</v>
      </c>
      <c r="Q16" s="100">
        <f t="shared" ref="Q16:Q62" si="9">M16+$M$64</f>
        <v>496.41600000000005</v>
      </c>
      <c r="V16" s="49"/>
    </row>
    <row r="17" spans="1:22" ht="15.75" customHeight="1">
      <c r="A17" s="51" t="s">
        <v>12</v>
      </c>
      <c r="B17" s="52" t="s">
        <v>339</v>
      </c>
      <c r="C17" s="53" t="s">
        <v>114</v>
      </c>
      <c r="D17" s="44">
        <f t="shared" si="8"/>
        <v>247.87</v>
      </c>
      <c r="E17" s="44">
        <v>5.31</v>
      </c>
      <c r="F17" s="45">
        <v>247.87</v>
      </c>
      <c r="G17" s="54">
        <v>115.62</v>
      </c>
      <c r="H17" s="54">
        <v>7.22</v>
      </c>
      <c r="I17" s="43">
        <f t="shared" si="1"/>
        <v>370.71000000000004</v>
      </c>
      <c r="J17" s="54">
        <v>15.91</v>
      </c>
      <c r="K17" s="43">
        <f t="shared" si="2"/>
        <v>386.62000000000006</v>
      </c>
      <c r="L17" s="46">
        <f t="shared" si="3"/>
        <v>77.324000000000012</v>
      </c>
      <c r="M17" s="47">
        <f t="shared" si="4"/>
        <v>463.94400000000007</v>
      </c>
      <c r="N17" s="48">
        <v>390.92</v>
      </c>
      <c r="O17" s="48">
        <f t="shared" si="5"/>
        <v>1.1868003683618134</v>
      </c>
      <c r="P17" s="99">
        <f>K17+$K$64</f>
        <v>498.91000000000008</v>
      </c>
      <c r="Q17" s="100">
        <f t="shared" si="9"/>
        <v>598.69200000000012</v>
      </c>
      <c r="V17" s="49"/>
    </row>
    <row r="18" spans="1:22" ht="15.75" customHeight="1">
      <c r="A18" s="51" t="s">
        <v>14</v>
      </c>
      <c r="B18" s="52" t="s">
        <v>340</v>
      </c>
      <c r="C18" s="53" t="s">
        <v>116</v>
      </c>
      <c r="D18" s="44">
        <f t="shared" si="8"/>
        <v>295.95</v>
      </c>
      <c r="E18" s="44">
        <v>6.34</v>
      </c>
      <c r="F18" s="45">
        <v>295.95</v>
      </c>
      <c r="G18" s="54">
        <v>138.03</v>
      </c>
      <c r="H18" s="54">
        <v>8.6199999999999992</v>
      </c>
      <c r="I18" s="43">
        <f t="shared" si="1"/>
        <v>442.6</v>
      </c>
      <c r="J18" s="44">
        <v>19</v>
      </c>
      <c r="K18" s="43">
        <f t="shared" si="2"/>
        <v>461.6</v>
      </c>
      <c r="L18" s="46">
        <f t="shared" si="3"/>
        <v>92.320000000000007</v>
      </c>
      <c r="M18" s="47">
        <f t="shared" si="4"/>
        <v>553.92000000000007</v>
      </c>
      <c r="N18" s="48">
        <v>466.79</v>
      </c>
      <c r="O18" s="48">
        <f t="shared" si="5"/>
        <v>1.1866578118640074</v>
      </c>
      <c r="P18" s="99">
        <f t="shared" ref="P18:P62" si="10">K18+$K$64</f>
        <v>573.89</v>
      </c>
      <c r="Q18" s="100">
        <f t="shared" si="9"/>
        <v>688.66800000000012</v>
      </c>
      <c r="V18" s="49"/>
    </row>
    <row r="19" spans="1:22" ht="15.75" customHeight="1">
      <c r="A19" s="51" t="s">
        <v>16</v>
      </c>
      <c r="B19" s="52" t="s">
        <v>341</v>
      </c>
      <c r="C19" s="53" t="s">
        <v>118</v>
      </c>
      <c r="D19" s="44">
        <f t="shared" si="8"/>
        <v>375.31</v>
      </c>
      <c r="E19" s="44">
        <v>8.0399999999999991</v>
      </c>
      <c r="F19" s="45">
        <v>375.31</v>
      </c>
      <c r="G19" s="54">
        <v>175.04</v>
      </c>
      <c r="H19" s="54">
        <v>10.92</v>
      </c>
      <c r="I19" s="43">
        <f t="shared" si="1"/>
        <v>561.27</v>
      </c>
      <c r="J19" s="54">
        <v>24.06</v>
      </c>
      <c r="K19" s="43">
        <f t="shared" si="2"/>
        <v>585.32999999999993</v>
      </c>
      <c r="L19" s="46">
        <f t="shared" si="3"/>
        <v>117.06599999999999</v>
      </c>
      <c r="M19" s="47">
        <f t="shared" si="4"/>
        <v>702.39599999999996</v>
      </c>
      <c r="N19" s="48">
        <v>591.89</v>
      </c>
      <c r="O19" s="48">
        <f t="shared" si="5"/>
        <v>1.186700231461927</v>
      </c>
      <c r="P19" s="99">
        <f t="shared" si="10"/>
        <v>697.61999999999989</v>
      </c>
      <c r="Q19" s="100">
        <f t="shared" si="9"/>
        <v>837.14400000000001</v>
      </c>
      <c r="V19" s="49"/>
    </row>
    <row r="20" spans="1:22" ht="15.75" customHeight="1">
      <c r="A20" s="51" t="s">
        <v>18</v>
      </c>
      <c r="B20" s="52" t="s">
        <v>342</v>
      </c>
      <c r="C20" s="53" t="s">
        <v>120</v>
      </c>
      <c r="D20" s="44">
        <f t="shared" si="8"/>
        <v>405.18</v>
      </c>
      <c r="E20" s="44">
        <v>8.68</v>
      </c>
      <c r="F20" s="45">
        <v>405.18</v>
      </c>
      <c r="G20" s="54">
        <v>188.98</v>
      </c>
      <c r="H20" s="44">
        <v>11.8</v>
      </c>
      <c r="I20" s="43">
        <f t="shared" si="1"/>
        <v>605.95999999999992</v>
      </c>
      <c r="J20" s="54">
        <v>25.99</v>
      </c>
      <c r="K20" s="43">
        <f t="shared" si="2"/>
        <v>631.94999999999993</v>
      </c>
      <c r="L20" s="46">
        <f t="shared" si="3"/>
        <v>126.38999999999999</v>
      </c>
      <c r="M20" s="47">
        <f t="shared" si="4"/>
        <v>758.33999999999992</v>
      </c>
      <c r="N20" s="48">
        <v>639.02</v>
      </c>
      <c r="O20" s="48">
        <f t="shared" si="5"/>
        <v>1.1867234202372381</v>
      </c>
      <c r="P20" s="101">
        <f t="shared" si="10"/>
        <v>744.2399999999999</v>
      </c>
      <c r="Q20" s="102">
        <f t="shared" si="9"/>
        <v>893.08799999999997</v>
      </c>
      <c r="V20" s="49"/>
    </row>
    <row r="21" spans="1:22" ht="15.75" customHeight="1">
      <c r="A21" s="51" t="s">
        <v>121</v>
      </c>
      <c r="B21" s="52" t="s">
        <v>343</v>
      </c>
      <c r="C21" s="53" t="s">
        <v>123</v>
      </c>
      <c r="D21" s="44">
        <f t="shared" si="8"/>
        <v>458.86</v>
      </c>
      <c r="E21" s="44">
        <v>9.83</v>
      </c>
      <c r="F21" s="45">
        <v>458.86</v>
      </c>
      <c r="G21" s="54">
        <v>214.01</v>
      </c>
      <c r="H21" s="54">
        <v>13.36</v>
      </c>
      <c r="I21" s="43">
        <f t="shared" si="1"/>
        <v>686.23</v>
      </c>
      <c r="J21" s="54">
        <v>29.43</v>
      </c>
      <c r="K21" s="43">
        <f t="shared" si="2"/>
        <v>715.66</v>
      </c>
      <c r="L21" s="46">
        <f t="shared" si="3"/>
        <v>143.13200000000001</v>
      </c>
      <c r="M21" s="47">
        <f t="shared" si="4"/>
        <v>858.79199999999992</v>
      </c>
      <c r="N21" s="48">
        <v>723.68</v>
      </c>
      <c r="O21" s="48">
        <f t="shared" si="5"/>
        <v>1.1867013044439532</v>
      </c>
      <c r="P21" s="101">
        <f t="shared" si="10"/>
        <v>827.94999999999993</v>
      </c>
      <c r="Q21" s="102">
        <f t="shared" si="9"/>
        <v>993.54</v>
      </c>
      <c r="V21" s="49"/>
    </row>
    <row r="22" spans="1:22" ht="15.75" customHeight="1">
      <c r="A22" s="51" t="s">
        <v>124</v>
      </c>
      <c r="B22" s="52" t="s">
        <v>344</v>
      </c>
      <c r="C22" s="53" t="s">
        <v>126</v>
      </c>
      <c r="D22" s="44">
        <f t="shared" si="8"/>
        <v>525.15</v>
      </c>
      <c r="E22" s="44">
        <v>11.25</v>
      </c>
      <c r="F22" s="45">
        <v>525.15</v>
      </c>
      <c r="G22" s="54">
        <v>244.92</v>
      </c>
      <c r="H22" s="54">
        <v>15.29</v>
      </c>
      <c r="I22" s="43">
        <f t="shared" si="1"/>
        <v>785.3599999999999</v>
      </c>
      <c r="J22" s="54">
        <v>33.69</v>
      </c>
      <c r="K22" s="43">
        <f t="shared" si="2"/>
        <v>819.05</v>
      </c>
      <c r="L22" s="46">
        <f t="shared" si="3"/>
        <v>163.81</v>
      </c>
      <c r="M22" s="47">
        <f t="shared" si="4"/>
        <v>982.8599999999999</v>
      </c>
      <c r="N22" s="48">
        <v>828.22</v>
      </c>
      <c r="O22" s="48">
        <f t="shared" si="5"/>
        <v>1.1867136751104777</v>
      </c>
      <c r="P22" s="103">
        <f t="shared" si="10"/>
        <v>931.33999999999992</v>
      </c>
      <c r="Q22" s="104">
        <f t="shared" si="9"/>
        <v>1117.6079999999999</v>
      </c>
      <c r="V22" s="49"/>
    </row>
    <row r="23" spans="1:22" ht="26.45">
      <c r="A23" s="51" t="s">
        <v>127</v>
      </c>
      <c r="B23" s="52" t="s">
        <v>303</v>
      </c>
      <c r="C23" s="53"/>
      <c r="D23" s="54"/>
      <c r="E23" s="54"/>
      <c r="F23" s="54"/>
      <c r="G23" s="54"/>
      <c r="H23" s="54"/>
      <c r="I23" s="43"/>
      <c r="J23" s="55"/>
      <c r="K23" s="43"/>
      <c r="L23" s="46"/>
      <c r="M23" s="47"/>
      <c r="N23" s="48"/>
      <c r="O23" s="48"/>
      <c r="P23" s="96"/>
      <c r="Q23" s="4"/>
      <c r="V23" s="49"/>
    </row>
    <row r="24" spans="1:22" ht="15.75" customHeight="1">
      <c r="A24" s="51" t="s">
        <v>129</v>
      </c>
      <c r="B24" s="52" t="s">
        <v>345</v>
      </c>
      <c r="C24" s="53" t="s">
        <v>131</v>
      </c>
      <c r="D24" s="44"/>
      <c r="E24" s="44">
        <v>8.84</v>
      </c>
      <c r="F24" s="45">
        <v>412.65</v>
      </c>
      <c r="G24" s="54">
        <v>180.16</v>
      </c>
      <c r="H24" s="45">
        <v>11.89</v>
      </c>
      <c r="I24" s="43">
        <f t="shared" si="1"/>
        <v>604.69999999999993</v>
      </c>
      <c r="J24" s="45">
        <v>26.21</v>
      </c>
      <c r="K24" s="43">
        <f t="shared" si="2"/>
        <v>630.91</v>
      </c>
      <c r="L24" s="46">
        <f t="shared" si="3"/>
        <v>126.182</v>
      </c>
      <c r="M24" s="47">
        <f t="shared" si="4"/>
        <v>757.09199999999998</v>
      </c>
      <c r="N24" s="48">
        <v>637.15</v>
      </c>
      <c r="O24" s="48">
        <f t="shared" si="5"/>
        <v>1.1882476653849172</v>
      </c>
      <c r="P24" s="101">
        <f t="shared" si="10"/>
        <v>743.19999999999993</v>
      </c>
      <c r="Q24" s="102">
        <f t="shared" si="9"/>
        <v>891.84</v>
      </c>
      <c r="V24" s="49"/>
    </row>
    <row r="25" spans="1:22" ht="15.75" customHeight="1">
      <c r="A25" s="51" t="s">
        <v>132</v>
      </c>
      <c r="B25" s="52" t="s">
        <v>343</v>
      </c>
      <c r="C25" s="53" t="s">
        <v>133</v>
      </c>
      <c r="D25" s="44"/>
      <c r="E25" s="44">
        <v>9.76</v>
      </c>
      <c r="F25" s="43">
        <v>455.6</v>
      </c>
      <c r="G25" s="44">
        <v>198.9</v>
      </c>
      <c r="H25" s="45">
        <v>13.14</v>
      </c>
      <c r="I25" s="43">
        <f t="shared" si="1"/>
        <v>667.64</v>
      </c>
      <c r="J25" s="45">
        <v>28.94</v>
      </c>
      <c r="K25" s="43">
        <f t="shared" si="2"/>
        <v>696.58</v>
      </c>
      <c r="L25" s="46">
        <f t="shared" si="3"/>
        <v>139.316</v>
      </c>
      <c r="M25" s="47">
        <f t="shared" si="4"/>
        <v>835.89600000000007</v>
      </c>
      <c r="N25" s="48">
        <v>703.48</v>
      </c>
      <c r="O25" s="48">
        <f t="shared" si="5"/>
        <v>1.1882299425712175</v>
      </c>
      <c r="P25" s="101">
        <f t="shared" si="10"/>
        <v>808.87</v>
      </c>
      <c r="Q25" s="102">
        <f t="shared" si="9"/>
        <v>970.64400000000012</v>
      </c>
      <c r="V25" s="49"/>
    </row>
    <row r="26" spans="1:22" ht="15.75" customHeight="1">
      <c r="A26" s="51" t="s">
        <v>134</v>
      </c>
      <c r="B26" s="52" t="s">
        <v>344</v>
      </c>
      <c r="C26" s="53" t="s">
        <v>135</v>
      </c>
      <c r="D26" s="44"/>
      <c r="E26" s="44">
        <v>10.8</v>
      </c>
      <c r="F26" s="45">
        <v>504.14</v>
      </c>
      <c r="G26" s="54">
        <v>220.09</v>
      </c>
      <c r="H26" s="45">
        <v>14.54</v>
      </c>
      <c r="I26" s="43">
        <f t="shared" si="1"/>
        <v>738.77</v>
      </c>
      <c r="J26" s="45">
        <v>32.03</v>
      </c>
      <c r="K26" s="43">
        <f t="shared" si="2"/>
        <v>770.8</v>
      </c>
      <c r="L26" s="46">
        <f t="shared" si="3"/>
        <v>154.16</v>
      </c>
      <c r="M26" s="47">
        <f t="shared" si="4"/>
        <v>924.95999999999992</v>
      </c>
      <c r="N26" s="48">
        <v>778.45</v>
      </c>
      <c r="O26" s="48">
        <f t="shared" si="5"/>
        <v>1.1882073350889586</v>
      </c>
      <c r="P26" s="103">
        <f t="shared" si="10"/>
        <v>883.08999999999992</v>
      </c>
      <c r="Q26" s="104">
        <f t="shared" si="9"/>
        <v>1059.7079999999999</v>
      </c>
      <c r="V26" s="49"/>
    </row>
    <row r="27" spans="1:22" ht="15.75" customHeight="1">
      <c r="A27" s="51" t="s">
        <v>136</v>
      </c>
      <c r="B27" s="52" t="s">
        <v>346</v>
      </c>
      <c r="C27" s="53" t="s">
        <v>138</v>
      </c>
      <c r="D27" s="44"/>
      <c r="E27" s="44">
        <v>12.1</v>
      </c>
      <c r="F27" s="45">
        <v>564.83000000000004</v>
      </c>
      <c r="G27" s="54">
        <v>246.59</v>
      </c>
      <c r="H27" s="45">
        <v>16.29</v>
      </c>
      <c r="I27" s="43">
        <f t="shared" si="1"/>
        <v>827.71</v>
      </c>
      <c r="J27" s="45">
        <v>35.880000000000003</v>
      </c>
      <c r="K27" s="43">
        <f t="shared" si="2"/>
        <v>863.59</v>
      </c>
      <c r="L27" s="46">
        <f t="shared" si="3"/>
        <v>172.71800000000002</v>
      </c>
      <c r="M27" s="47">
        <f t="shared" si="4"/>
        <v>1036.308</v>
      </c>
      <c r="N27" s="48">
        <v>872.12</v>
      </c>
      <c r="O27" s="48">
        <f t="shared" si="5"/>
        <v>1.188263083061964</v>
      </c>
      <c r="P27" s="105">
        <f t="shared" si="10"/>
        <v>975.88</v>
      </c>
      <c r="Q27" s="106">
        <f t="shared" si="9"/>
        <v>1171.056</v>
      </c>
      <c r="V27" s="49"/>
    </row>
    <row r="28" spans="1:22" ht="15.75" customHeight="1">
      <c r="A28" s="51" t="s">
        <v>139</v>
      </c>
      <c r="B28" s="52" t="s">
        <v>347</v>
      </c>
      <c r="C28" s="53" t="s">
        <v>141</v>
      </c>
      <c r="D28" s="44"/>
      <c r="E28" s="44">
        <v>14.85</v>
      </c>
      <c r="F28" s="43">
        <v>693.2</v>
      </c>
      <c r="G28" s="54">
        <v>302.64</v>
      </c>
      <c r="H28" s="45">
        <v>19.989999999999998</v>
      </c>
      <c r="I28" s="43">
        <f t="shared" si="1"/>
        <v>1015.83</v>
      </c>
      <c r="J28" s="45">
        <v>44.04</v>
      </c>
      <c r="K28" s="43">
        <f t="shared" si="2"/>
        <v>1059.8700000000001</v>
      </c>
      <c r="L28" s="46">
        <f t="shared" si="3"/>
        <v>211.97400000000005</v>
      </c>
      <c r="M28" s="47">
        <f t="shared" si="4"/>
        <v>1271.8440000000001</v>
      </c>
      <c r="N28" s="48">
        <v>1070.3399999999999</v>
      </c>
      <c r="O28" s="48">
        <f t="shared" si="5"/>
        <v>1.1882616738606426</v>
      </c>
      <c r="P28" s="107">
        <f t="shared" si="10"/>
        <v>1172.1600000000001</v>
      </c>
      <c r="Q28" s="108">
        <f t="shared" si="9"/>
        <v>1406.5920000000001</v>
      </c>
      <c r="V28" s="49"/>
    </row>
    <row r="29" spans="1:22" ht="15.75" customHeight="1">
      <c r="A29" s="51" t="s">
        <v>142</v>
      </c>
      <c r="B29" s="52" t="s">
        <v>348</v>
      </c>
      <c r="C29" s="53" t="s">
        <v>144</v>
      </c>
      <c r="D29" s="44"/>
      <c r="E29" s="44">
        <v>21.67</v>
      </c>
      <c r="F29" s="45">
        <v>1011.56</v>
      </c>
      <c r="G29" s="54">
        <v>441.63</v>
      </c>
      <c r="H29" s="45">
        <v>29.16</v>
      </c>
      <c r="I29" s="43">
        <f t="shared" si="1"/>
        <v>1482.3500000000001</v>
      </c>
      <c r="J29" s="45">
        <v>64.25</v>
      </c>
      <c r="K29" s="43">
        <f t="shared" si="2"/>
        <v>1546.6000000000001</v>
      </c>
      <c r="L29" s="46">
        <f t="shared" si="3"/>
        <v>309.32000000000005</v>
      </c>
      <c r="M29" s="47">
        <f t="shared" si="4"/>
        <v>1855.92</v>
      </c>
      <c r="N29" s="48">
        <v>1561.91</v>
      </c>
      <c r="O29" s="48">
        <f t="shared" si="5"/>
        <v>1.188237478471871</v>
      </c>
      <c r="P29" s="109">
        <f t="shared" si="10"/>
        <v>1658.89</v>
      </c>
      <c r="Q29" s="110">
        <f t="shared" si="9"/>
        <v>1990.6680000000001</v>
      </c>
      <c r="V29" s="49"/>
    </row>
    <row r="30" spans="1:22" ht="15.75" customHeight="1">
      <c r="A30" s="51" t="s">
        <v>145</v>
      </c>
      <c r="B30" s="56" t="s">
        <v>349</v>
      </c>
      <c r="C30" s="53" t="s">
        <v>147</v>
      </c>
      <c r="D30" s="44"/>
      <c r="E30" s="44">
        <v>26.04</v>
      </c>
      <c r="F30" s="45">
        <v>1215.55</v>
      </c>
      <c r="G30" s="54">
        <v>530.67999999999995</v>
      </c>
      <c r="H30" s="45">
        <v>35.04</v>
      </c>
      <c r="I30" s="43">
        <f t="shared" si="1"/>
        <v>1781.27</v>
      </c>
      <c r="J30" s="45">
        <v>77.209999999999994</v>
      </c>
      <c r="K30" s="43">
        <f t="shared" si="2"/>
        <v>1858.48</v>
      </c>
      <c r="L30" s="46">
        <f t="shared" si="3"/>
        <v>371.69600000000003</v>
      </c>
      <c r="M30" s="47">
        <f t="shared" si="4"/>
        <v>2230.1759999999999</v>
      </c>
      <c r="N30" s="48">
        <v>1876.86</v>
      </c>
      <c r="O30" s="48">
        <f t="shared" si="5"/>
        <v>1.1882484575301302</v>
      </c>
      <c r="P30" s="111">
        <f t="shared" si="10"/>
        <v>1970.77</v>
      </c>
      <c r="Q30" s="112">
        <f t="shared" si="9"/>
        <v>2364.924</v>
      </c>
      <c r="V30" s="49"/>
    </row>
    <row r="31" spans="1:22" ht="15.75" customHeight="1">
      <c r="A31" s="51" t="s">
        <v>148</v>
      </c>
      <c r="B31" s="56" t="s">
        <v>350</v>
      </c>
      <c r="C31" s="53" t="s">
        <v>150</v>
      </c>
      <c r="D31" s="44"/>
      <c r="E31" s="44">
        <v>31.25</v>
      </c>
      <c r="F31" s="45">
        <v>1458.75</v>
      </c>
      <c r="G31" s="54">
        <v>636.86</v>
      </c>
      <c r="H31" s="45">
        <v>42.05</v>
      </c>
      <c r="I31" s="43">
        <f t="shared" si="1"/>
        <v>2137.6600000000003</v>
      </c>
      <c r="J31" s="57">
        <v>92.65</v>
      </c>
      <c r="K31" s="43">
        <f t="shared" si="2"/>
        <v>2230.3100000000004</v>
      </c>
      <c r="L31" s="46">
        <f t="shared" si="3"/>
        <v>446.06200000000013</v>
      </c>
      <c r="M31" s="47">
        <f t="shared" si="4"/>
        <v>2676.3720000000003</v>
      </c>
      <c r="N31" s="48">
        <v>2252.39</v>
      </c>
      <c r="O31" s="48">
        <f t="shared" si="5"/>
        <v>1.1882364954559381</v>
      </c>
      <c r="P31" s="113">
        <f t="shared" si="10"/>
        <v>2342.6000000000004</v>
      </c>
      <c r="Q31" s="114">
        <f t="shared" si="9"/>
        <v>2811.1200000000003</v>
      </c>
      <c r="V31" s="49"/>
    </row>
    <row r="32" spans="1:22" ht="15.75" customHeight="1">
      <c r="A32" s="51" t="s">
        <v>151</v>
      </c>
      <c r="B32" s="56" t="s">
        <v>351</v>
      </c>
      <c r="C32" s="53" t="s">
        <v>153</v>
      </c>
      <c r="D32" s="44"/>
      <c r="E32" s="44">
        <v>39.65</v>
      </c>
      <c r="F32" s="45">
        <v>1850.86</v>
      </c>
      <c r="G32" s="58">
        <v>808.06</v>
      </c>
      <c r="H32" s="54">
        <v>53.36</v>
      </c>
      <c r="I32" s="43">
        <f t="shared" si="1"/>
        <v>2712.28</v>
      </c>
      <c r="J32" s="54">
        <v>117.56</v>
      </c>
      <c r="K32" s="43">
        <f t="shared" si="2"/>
        <v>2829.84</v>
      </c>
      <c r="L32" s="46">
        <f t="shared" si="3"/>
        <v>565.96800000000007</v>
      </c>
      <c r="M32" s="47">
        <f t="shared" si="4"/>
        <v>3395.808</v>
      </c>
      <c r="N32" s="48">
        <v>2857.86</v>
      </c>
      <c r="O32" s="48">
        <f t="shared" si="5"/>
        <v>1.188234553127165</v>
      </c>
      <c r="P32" s="115">
        <f t="shared" si="10"/>
        <v>2942.13</v>
      </c>
      <c r="Q32" s="116">
        <f t="shared" si="9"/>
        <v>3530.556</v>
      </c>
      <c r="V32" s="49"/>
    </row>
    <row r="33" spans="1:22" ht="15.75" customHeight="1">
      <c r="A33" s="51" t="s">
        <v>154</v>
      </c>
      <c r="B33" s="56" t="s">
        <v>352</v>
      </c>
      <c r="C33" s="53" t="s">
        <v>156</v>
      </c>
      <c r="D33" s="44"/>
      <c r="E33" s="44">
        <v>41.5</v>
      </c>
      <c r="F33" s="45">
        <v>1937.22</v>
      </c>
      <c r="G33" s="54">
        <v>845.75</v>
      </c>
      <c r="H33" s="54">
        <v>55.84</v>
      </c>
      <c r="I33" s="43">
        <f t="shared" si="1"/>
        <v>2838.8100000000004</v>
      </c>
      <c r="J33" s="54">
        <v>123.03</v>
      </c>
      <c r="K33" s="43">
        <f t="shared" si="2"/>
        <v>2961.8400000000006</v>
      </c>
      <c r="L33" s="46">
        <f t="shared" si="3"/>
        <v>592.36800000000017</v>
      </c>
      <c r="M33" s="47">
        <f t="shared" si="4"/>
        <v>3554.2080000000005</v>
      </c>
      <c r="N33" s="48">
        <v>2991.18</v>
      </c>
      <c r="O33" s="48">
        <f t="shared" si="5"/>
        <v>1.1882293944195939</v>
      </c>
      <c r="P33" s="117">
        <f t="shared" si="10"/>
        <v>3074.1300000000006</v>
      </c>
      <c r="Q33" s="118">
        <f t="shared" si="9"/>
        <v>3688.9560000000006</v>
      </c>
      <c r="V33" s="49"/>
    </row>
    <row r="34" spans="1:22" ht="15.75" customHeight="1">
      <c r="A34" s="51" t="s">
        <v>157</v>
      </c>
      <c r="B34" s="56" t="s">
        <v>353</v>
      </c>
      <c r="C34" s="53" t="s">
        <v>159</v>
      </c>
      <c r="D34" s="44"/>
      <c r="E34" s="44">
        <v>46.7</v>
      </c>
      <c r="F34" s="45">
        <v>2179.96</v>
      </c>
      <c r="G34" s="58">
        <v>951.72</v>
      </c>
      <c r="H34" s="54">
        <v>62.84</v>
      </c>
      <c r="I34" s="43">
        <f t="shared" si="1"/>
        <v>3194.5200000000004</v>
      </c>
      <c r="J34" s="54">
        <v>138.44999999999999</v>
      </c>
      <c r="K34" s="43">
        <f t="shared" si="2"/>
        <v>3332.9700000000003</v>
      </c>
      <c r="L34" s="46">
        <f t="shared" si="3"/>
        <v>666.59400000000005</v>
      </c>
      <c r="M34" s="47">
        <f t="shared" si="4"/>
        <v>3999.5640000000003</v>
      </c>
      <c r="N34" s="48">
        <v>3365.96</v>
      </c>
      <c r="O34" s="48">
        <f t="shared" si="5"/>
        <v>1.1882387194143722</v>
      </c>
      <c r="P34" s="96">
        <f t="shared" si="10"/>
        <v>3445.26</v>
      </c>
      <c r="Q34" s="4">
        <f t="shared" si="9"/>
        <v>4134.3119999999999</v>
      </c>
      <c r="V34" s="49"/>
    </row>
    <row r="35" spans="1:22" ht="15.75" customHeight="1">
      <c r="A35" s="51" t="s">
        <v>160</v>
      </c>
      <c r="B35" s="56" t="s">
        <v>354</v>
      </c>
      <c r="C35" s="53" t="s">
        <v>162</v>
      </c>
      <c r="D35" s="44"/>
      <c r="E35" s="44">
        <v>47.54</v>
      </c>
      <c r="F35" s="45">
        <v>2219.17</v>
      </c>
      <c r="G35" s="54">
        <v>968.85</v>
      </c>
      <c r="H35" s="54">
        <v>63.97</v>
      </c>
      <c r="I35" s="43">
        <f t="shared" si="1"/>
        <v>3251.99</v>
      </c>
      <c r="J35" s="54">
        <v>140.94999999999999</v>
      </c>
      <c r="K35" s="43">
        <f t="shared" si="2"/>
        <v>3392.9399999999996</v>
      </c>
      <c r="L35" s="46">
        <f t="shared" si="3"/>
        <v>678.58799999999997</v>
      </c>
      <c r="M35" s="47">
        <f t="shared" si="4"/>
        <v>4071.5279999999993</v>
      </c>
      <c r="N35" s="48">
        <v>3426.5</v>
      </c>
      <c r="O35" s="48">
        <f t="shared" si="5"/>
        <v>1.1882468991682473</v>
      </c>
      <c r="P35" s="96">
        <f t="shared" si="10"/>
        <v>3505.2299999999996</v>
      </c>
      <c r="Q35" s="4">
        <f t="shared" si="9"/>
        <v>4206.2759999999989</v>
      </c>
      <c r="V35" s="49"/>
    </row>
    <row r="36" spans="1:22" ht="26.45">
      <c r="A36" s="51" t="s">
        <v>163</v>
      </c>
      <c r="B36" s="52" t="s">
        <v>304</v>
      </c>
      <c r="C36" s="53"/>
      <c r="D36" s="54"/>
      <c r="E36" s="54"/>
      <c r="F36" s="54"/>
      <c r="G36" s="54"/>
      <c r="H36" s="54"/>
      <c r="I36" s="43"/>
      <c r="J36" s="55"/>
      <c r="K36" s="43"/>
      <c r="L36" s="46"/>
      <c r="M36" s="47"/>
      <c r="N36" s="48"/>
      <c r="O36" s="48"/>
      <c r="P36" s="96"/>
      <c r="Q36" s="4"/>
      <c r="V36" s="49"/>
    </row>
    <row r="37" spans="1:22" ht="15.75" customHeight="1">
      <c r="A37" s="51" t="s">
        <v>23</v>
      </c>
      <c r="B37" s="52" t="s">
        <v>355</v>
      </c>
      <c r="C37" s="53" t="s">
        <v>166</v>
      </c>
      <c r="D37" s="44"/>
      <c r="E37" s="44">
        <v>5.66</v>
      </c>
      <c r="F37" s="45">
        <v>264.20999999999998</v>
      </c>
      <c r="G37" s="54">
        <v>115.35</v>
      </c>
      <c r="H37" s="54">
        <v>7.61</v>
      </c>
      <c r="I37" s="43">
        <f t="shared" si="1"/>
        <v>387.16999999999996</v>
      </c>
      <c r="J37" s="54">
        <v>16.77</v>
      </c>
      <c r="K37" s="43">
        <f t="shared" si="2"/>
        <v>403.93999999999994</v>
      </c>
      <c r="L37" s="46">
        <f t="shared" si="3"/>
        <v>80.787999999999997</v>
      </c>
      <c r="M37" s="47">
        <f t="shared" si="4"/>
        <v>484.72799999999995</v>
      </c>
      <c r="N37" s="48">
        <v>407.94</v>
      </c>
      <c r="O37" s="48">
        <f t="shared" si="5"/>
        <v>1.1882335637593762</v>
      </c>
      <c r="P37" s="101">
        <f t="shared" si="10"/>
        <v>516.2299999999999</v>
      </c>
      <c r="Q37" s="102">
        <f t="shared" si="9"/>
        <v>619.476</v>
      </c>
      <c r="V37" s="49"/>
    </row>
    <row r="38" spans="1:22" ht="15.75" customHeight="1">
      <c r="A38" s="51" t="s">
        <v>25</v>
      </c>
      <c r="B38" s="52" t="s">
        <v>346</v>
      </c>
      <c r="C38" s="53" t="s">
        <v>167</v>
      </c>
      <c r="D38" s="44"/>
      <c r="E38" s="44">
        <v>7.04</v>
      </c>
      <c r="F38" s="45">
        <v>328.63</v>
      </c>
      <c r="G38" s="54">
        <v>143.47999999999999</v>
      </c>
      <c r="H38" s="54">
        <v>9.4700000000000006</v>
      </c>
      <c r="I38" s="43">
        <f t="shared" si="1"/>
        <v>481.58000000000004</v>
      </c>
      <c r="J38" s="54">
        <v>20.87</v>
      </c>
      <c r="K38" s="43">
        <f t="shared" si="2"/>
        <v>502.45000000000005</v>
      </c>
      <c r="L38" s="46">
        <f t="shared" si="3"/>
        <v>100.49000000000001</v>
      </c>
      <c r="M38" s="47">
        <f t="shared" si="4"/>
        <v>602.94000000000005</v>
      </c>
      <c r="N38" s="48">
        <v>507.41</v>
      </c>
      <c r="O38" s="48">
        <f t="shared" si="5"/>
        <v>1.1882698409570172</v>
      </c>
      <c r="P38" s="105">
        <f t="shared" si="10"/>
        <v>614.74</v>
      </c>
      <c r="Q38" s="106">
        <f t="shared" si="9"/>
        <v>737.6880000000001</v>
      </c>
      <c r="V38" s="49"/>
    </row>
    <row r="39" spans="1:22" ht="15.75" customHeight="1">
      <c r="A39" s="51" t="s">
        <v>27</v>
      </c>
      <c r="B39" s="52" t="s">
        <v>347</v>
      </c>
      <c r="C39" s="53" t="s">
        <v>168</v>
      </c>
      <c r="D39" s="44"/>
      <c r="E39" s="44">
        <v>10.92</v>
      </c>
      <c r="F39" s="45">
        <v>509.75</v>
      </c>
      <c r="G39" s="54">
        <v>222.55</v>
      </c>
      <c r="H39" s="54">
        <v>14.7</v>
      </c>
      <c r="I39" s="43">
        <f t="shared" si="1"/>
        <v>747</v>
      </c>
      <c r="J39" s="54">
        <v>32.380000000000003</v>
      </c>
      <c r="K39" s="43">
        <f t="shared" si="2"/>
        <v>779.38</v>
      </c>
      <c r="L39" s="46">
        <f t="shared" si="3"/>
        <v>155.876</v>
      </c>
      <c r="M39" s="47">
        <f t="shared" si="4"/>
        <v>935.25599999999997</v>
      </c>
      <c r="N39" s="48">
        <v>787.08</v>
      </c>
      <c r="O39" s="48">
        <f t="shared" si="5"/>
        <v>1.1882604055496264</v>
      </c>
      <c r="P39" s="107">
        <f t="shared" si="10"/>
        <v>891.67</v>
      </c>
      <c r="Q39" s="108">
        <f t="shared" si="9"/>
        <v>1070.0039999999999</v>
      </c>
      <c r="V39" s="49"/>
    </row>
    <row r="40" spans="1:22" ht="15.75" customHeight="1">
      <c r="A40" s="51" t="s">
        <v>29</v>
      </c>
      <c r="B40" s="52" t="s">
        <v>348</v>
      </c>
      <c r="C40" s="53" t="s">
        <v>169</v>
      </c>
      <c r="D40" s="44"/>
      <c r="E40" s="44">
        <v>15.36</v>
      </c>
      <c r="F40" s="43">
        <v>717</v>
      </c>
      <c r="G40" s="54">
        <v>313.04000000000002</v>
      </c>
      <c r="H40" s="54">
        <v>20.66</v>
      </c>
      <c r="I40" s="43">
        <f t="shared" si="1"/>
        <v>1050.7</v>
      </c>
      <c r="J40" s="54">
        <v>45.53</v>
      </c>
      <c r="K40" s="43">
        <f t="shared" si="2"/>
        <v>1096.23</v>
      </c>
      <c r="L40" s="46">
        <f t="shared" si="3"/>
        <v>219.24600000000001</v>
      </c>
      <c r="M40" s="47">
        <f t="shared" si="4"/>
        <v>1315.4760000000001</v>
      </c>
      <c r="N40" s="48">
        <v>1107.07</v>
      </c>
      <c r="O40" s="48">
        <f t="shared" si="5"/>
        <v>1.1882500654881807</v>
      </c>
      <c r="P40" s="109">
        <f t="shared" si="10"/>
        <v>1208.52</v>
      </c>
      <c r="Q40" s="110">
        <f t="shared" si="9"/>
        <v>1450.2240000000002</v>
      </c>
      <c r="V40" s="49"/>
    </row>
    <row r="41" spans="1:22" ht="15.75" customHeight="1">
      <c r="A41" s="51" t="s">
        <v>170</v>
      </c>
      <c r="B41" s="56" t="s">
        <v>356</v>
      </c>
      <c r="C41" s="53" t="s">
        <v>172</v>
      </c>
      <c r="D41" s="44"/>
      <c r="E41" s="44">
        <v>19.149999999999999</v>
      </c>
      <c r="F41" s="45">
        <v>893.92</v>
      </c>
      <c r="G41" s="54">
        <v>390.27</v>
      </c>
      <c r="H41" s="54">
        <v>25.77</v>
      </c>
      <c r="I41" s="43">
        <f t="shared" si="1"/>
        <v>1309.96</v>
      </c>
      <c r="J41" s="54">
        <v>56.77</v>
      </c>
      <c r="K41" s="43">
        <f t="shared" si="2"/>
        <v>1366.73</v>
      </c>
      <c r="L41" s="46">
        <f t="shared" si="3"/>
        <v>273.346</v>
      </c>
      <c r="M41" s="47">
        <f t="shared" si="4"/>
        <v>1640.076</v>
      </c>
      <c r="N41" s="48">
        <v>1380.26</v>
      </c>
      <c r="O41" s="48">
        <f t="shared" si="5"/>
        <v>1.1882369988263082</v>
      </c>
      <c r="P41" s="111">
        <f t="shared" si="10"/>
        <v>1479.02</v>
      </c>
      <c r="Q41" s="112">
        <f t="shared" si="9"/>
        <v>1774.8240000000001</v>
      </c>
      <c r="V41" s="49"/>
    </row>
    <row r="42" spans="1:22" ht="15.75" customHeight="1">
      <c r="A42" s="51" t="s">
        <v>173</v>
      </c>
      <c r="B42" s="56" t="s">
        <v>357</v>
      </c>
      <c r="C42" s="53" t="s">
        <v>175</v>
      </c>
      <c r="D42" s="44"/>
      <c r="E42" s="44">
        <v>23.02</v>
      </c>
      <c r="F42" s="45">
        <v>1074.57</v>
      </c>
      <c r="G42" s="54">
        <v>469.14</v>
      </c>
      <c r="H42" s="54">
        <v>30.97</v>
      </c>
      <c r="I42" s="43">
        <f t="shared" si="1"/>
        <v>1574.68</v>
      </c>
      <c r="J42" s="54">
        <v>68.239999999999995</v>
      </c>
      <c r="K42" s="43">
        <f t="shared" si="2"/>
        <v>1642.92</v>
      </c>
      <c r="L42" s="46">
        <f t="shared" si="3"/>
        <v>328.58400000000006</v>
      </c>
      <c r="M42" s="47">
        <f t="shared" si="4"/>
        <v>1971.5040000000001</v>
      </c>
      <c r="N42" s="48">
        <v>1659.19</v>
      </c>
      <c r="O42" s="48">
        <f t="shared" si="5"/>
        <v>1.1882328123964103</v>
      </c>
      <c r="P42" s="113">
        <f t="shared" si="10"/>
        <v>1755.21</v>
      </c>
      <c r="Q42" s="114">
        <f t="shared" si="9"/>
        <v>2106.252</v>
      </c>
      <c r="V42" s="49"/>
    </row>
    <row r="43" spans="1:22" ht="15.75" customHeight="1">
      <c r="A43" s="51" t="s">
        <v>176</v>
      </c>
      <c r="B43" s="56" t="s">
        <v>358</v>
      </c>
      <c r="C43" s="53" t="s">
        <v>178</v>
      </c>
      <c r="D43" s="44"/>
      <c r="E43" s="44">
        <v>31.58</v>
      </c>
      <c r="F43" s="45">
        <v>1474.15</v>
      </c>
      <c r="G43" s="54">
        <v>643.58000000000004</v>
      </c>
      <c r="H43" s="54">
        <v>42.5</v>
      </c>
      <c r="I43" s="43">
        <f t="shared" si="1"/>
        <v>2160.23</v>
      </c>
      <c r="J43" s="54">
        <v>93.63</v>
      </c>
      <c r="K43" s="43">
        <f t="shared" si="2"/>
        <v>2253.86</v>
      </c>
      <c r="L43" s="46">
        <f t="shared" si="3"/>
        <v>450.77200000000005</v>
      </c>
      <c r="M43" s="47">
        <f t="shared" si="4"/>
        <v>2704.6320000000001</v>
      </c>
      <c r="N43" s="48">
        <v>2276.17</v>
      </c>
      <c r="O43" s="48">
        <f t="shared" si="5"/>
        <v>1.1882381368702688</v>
      </c>
      <c r="P43" s="117">
        <f t="shared" si="10"/>
        <v>2366.15</v>
      </c>
      <c r="Q43" s="118">
        <f t="shared" si="9"/>
        <v>2839.38</v>
      </c>
      <c r="V43" s="49"/>
    </row>
    <row r="44" spans="1:22" ht="15.75" customHeight="1">
      <c r="A44" s="51" t="s">
        <v>179</v>
      </c>
      <c r="B44" s="56" t="s">
        <v>359</v>
      </c>
      <c r="C44" s="53" t="s">
        <v>181</v>
      </c>
      <c r="D44" s="44"/>
      <c r="E44" s="44">
        <v>38.64</v>
      </c>
      <c r="F44" s="45">
        <v>1803.72</v>
      </c>
      <c r="G44" s="54">
        <v>787.48</v>
      </c>
      <c r="H44" s="54">
        <v>51.99</v>
      </c>
      <c r="I44" s="43">
        <f t="shared" si="1"/>
        <v>2643.1899999999996</v>
      </c>
      <c r="J44" s="54">
        <v>114.55</v>
      </c>
      <c r="K44" s="43">
        <f t="shared" si="2"/>
        <v>2757.74</v>
      </c>
      <c r="L44" s="46">
        <f t="shared" si="3"/>
        <v>551.548</v>
      </c>
      <c r="M44" s="47">
        <f t="shared" si="4"/>
        <v>3309.2879999999996</v>
      </c>
      <c r="N44" s="48">
        <v>2785.02</v>
      </c>
      <c r="O44" s="48">
        <f t="shared" si="5"/>
        <v>1.1882456858478574</v>
      </c>
      <c r="P44" s="96">
        <f t="shared" si="10"/>
        <v>2870.0299999999997</v>
      </c>
      <c r="Q44" s="4">
        <f t="shared" si="9"/>
        <v>3444.0359999999996</v>
      </c>
      <c r="V44" s="49"/>
    </row>
    <row r="45" spans="1:22" ht="15.75" hidden="1" customHeight="1">
      <c r="A45" s="51" t="s">
        <v>182</v>
      </c>
      <c r="B45" s="52" t="s">
        <v>305</v>
      </c>
      <c r="C45" s="53"/>
      <c r="D45" s="54"/>
      <c r="E45" s="54"/>
      <c r="F45" s="54"/>
      <c r="G45" s="54"/>
      <c r="H45" s="54"/>
      <c r="I45" s="43"/>
      <c r="J45" s="55"/>
      <c r="K45" s="43"/>
      <c r="L45" s="46"/>
      <c r="M45" s="47"/>
      <c r="N45" s="48"/>
      <c r="O45" s="48"/>
      <c r="P45" s="97"/>
      <c r="Q45" s="97"/>
      <c r="V45" s="49"/>
    </row>
    <row r="46" spans="1:22" ht="15.75" hidden="1" customHeight="1">
      <c r="A46" s="51" t="s">
        <v>33</v>
      </c>
      <c r="B46" s="52" t="s">
        <v>360</v>
      </c>
      <c r="C46" s="53" t="s">
        <v>185</v>
      </c>
      <c r="D46" s="44">
        <f t="shared" ref="D46:D47" si="11">F46</f>
        <v>146.46</v>
      </c>
      <c r="E46" s="44">
        <v>4.09</v>
      </c>
      <c r="F46" s="45">
        <v>146.46</v>
      </c>
      <c r="G46" s="54">
        <v>67.959999999999994</v>
      </c>
      <c r="H46" s="54">
        <v>4.78</v>
      </c>
      <c r="I46" s="43">
        <f t="shared" si="1"/>
        <v>219.20000000000002</v>
      </c>
      <c r="J46" s="54">
        <v>10.54</v>
      </c>
      <c r="K46" s="43">
        <f t="shared" si="2"/>
        <v>229.74</v>
      </c>
      <c r="L46" s="46">
        <f t="shared" si="3"/>
        <v>45.948000000000008</v>
      </c>
      <c r="M46" s="47">
        <f t="shared" si="4"/>
        <v>275.68799999999999</v>
      </c>
      <c r="N46" s="48">
        <v>267.41000000000003</v>
      </c>
      <c r="O46" s="48">
        <f t="shared" si="5"/>
        <v>1.0309562095658351</v>
      </c>
      <c r="P46" s="97">
        <f t="shared" si="10"/>
        <v>342.03000000000003</v>
      </c>
      <c r="Q46" s="97">
        <f t="shared" si="9"/>
        <v>410.43600000000004</v>
      </c>
      <c r="V46" s="49"/>
    </row>
    <row r="47" spans="1:22" ht="15.75" hidden="1" customHeight="1">
      <c r="A47" s="51" t="s">
        <v>35</v>
      </c>
      <c r="B47" s="52" t="s">
        <v>361</v>
      </c>
      <c r="C47" s="53" t="s">
        <v>187</v>
      </c>
      <c r="D47" s="44">
        <f t="shared" si="11"/>
        <v>197.88</v>
      </c>
      <c r="E47" s="44">
        <v>4.8099999999999996</v>
      </c>
      <c r="F47" s="45">
        <v>197.88</v>
      </c>
      <c r="G47" s="54">
        <v>91.81</v>
      </c>
      <c r="H47" s="54">
        <v>6.47</v>
      </c>
      <c r="I47" s="43">
        <f t="shared" si="1"/>
        <v>296.16000000000003</v>
      </c>
      <c r="J47" s="54">
        <v>14.25</v>
      </c>
      <c r="K47" s="43">
        <f t="shared" si="2"/>
        <v>310.41000000000003</v>
      </c>
      <c r="L47" s="46">
        <f t="shared" si="3"/>
        <v>62.082000000000008</v>
      </c>
      <c r="M47" s="47">
        <f t="shared" si="4"/>
        <v>372.49200000000002</v>
      </c>
      <c r="N47" s="48">
        <v>314.22000000000003</v>
      </c>
      <c r="O47" s="48">
        <f t="shared" si="5"/>
        <v>1.1854496849341225</v>
      </c>
      <c r="P47" s="97">
        <f t="shared" si="10"/>
        <v>422.70000000000005</v>
      </c>
      <c r="Q47" s="97">
        <f t="shared" si="9"/>
        <v>507.24</v>
      </c>
      <c r="V47" s="49"/>
    </row>
    <row r="48" spans="1:22" ht="26.45" hidden="1">
      <c r="A48" s="51" t="s">
        <v>188</v>
      </c>
      <c r="B48" s="52" t="s">
        <v>189</v>
      </c>
      <c r="C48" s="59"/>
      <c r="D48" s="54"/>
      <c r="E48" s="54"/>
      <c r="F48" s="54"/>
      <c r="G48" s="54"/>
      <c r="H48" s="54"/>
      <c r="I48" s="43"/>
      <c r="J48" s="55"/>
      <c r="K48" s="43"/>
      <c r="L48" s="46"/>
      <c r="M48" s="47"/>
      <c r="N48" s="48"/>
      <c r="O48" s="48"/>
      <c r="P48" s="97"/>
      <c r="Q48" s="97"/>
      <c r="V48" s="49"/>
    </row>
    <row r="49" spans="1:22" ht="15.75" hidden="1" customHeight="1">
      <c r="A49" s="51" t="s">
        <v>190</v>
      </c>
      <c r="B49" s="52" t="s">
        <v>362</v>
      </c>
      <c r="C49" s="53" t="s">
        <v>192</v>
      </c>
      <c r="D49" s="44">
        <f t="shared" ref="D49:D59" si="12">F49</f>
        <v>198.39</v>
      </c>
      <c r="E49" s="44">
        <v>4.25</v>
      </c>
      <c r="F49" s="45">
        <v>198.39</v>
      </c>
      <c r="G49" s="54">
        <v>86.61</v>
      </c>
      <c r="H49" s="54">
        <v>5.72</v>
      </c>
      <c r="I49" s="43">
        <f t="shared" si="1"/>
        <v>290.72000000000003</v>
      </c>
      <c r="J49" s="54">
        <v>12.6</v>
      </c>
      <c r="K49" s="43">
        <f t="shared" si="2"/>
        <v>303.32000000000005</v>
      </c>
      <c r="L49" s="46">
        <f t="shared" si="3"/>
        <v>60.664000000000016</v>
      </c>
      <c r="M49" s="47">
        <f t="shared" si="4"/>
        <v>363.98400000000004</v>
      </c>
      <c r="N49" s="48">
        <v>306.32</v>
      </c>
      <c r="O49" s="48">
        <f t="shared" si="5"/>
        <v>1.1882475842256466</v>
      </c>
      <c r="P49" s="97">
        <f t="shared" si="10"/>
        <v>415.61000000000007</v>
      </c>
      <c r="Q49" s="97">
        <f t="shared" si="9"/>
        <v>498.73200000000008</v>
      </c>
      <c r="V49" s="49"/>
    </row>
    <row r="50" spans="1:22" s="60" customFormat="1" ht="15.75" hidden="1" customHeight="1">
      <c r="A50" s="51" t="s">
        <v>193</v>
      </c>
      <c r="B50" s="52" t="s">
        <v>363</v>
      </c>
      <c r="C50" s="53" t="s">
        <v>195</v>
      </c>
      <c r="D50" s="44">
        <f t="shared" si="12"/>
        <v>229.2</v>
      </c>
      <c r="E50" s="44">
        <v>4.91</v>
      </c>
      <c r="F50" s="43">
        <v>229.2</v>
      </c>
      <c r="G50" s="54">
        <v>100.06</v>
      </c>
      <c r="H50" s="54">
        <v>6.61</v>
      </c>
      <c r="I50" s="43">
        <f t="shared" si="1"/>
        <v>335.87</v>
      </c>
      <c r="J50" s="54">
        <v>14.55</v>
      </c>
      <c r="K50" s="43">
        <f t="shared" si="2"/>
        <v>350.42</v>
      </c>
      <c r="L50" s="46">
        <f t="shared" si="3"/>
        <v>70.084000000000003</v>
      </c>
      <c r="M50" s="47">
        <f t="shared" si="4"/>
        <v>420.50400000000002</v>
      </c>
      <c r="N50" s="48">
        <v>353.87</v>
      </c>
      <c r="O50" s="48">
        <f t="shared" si="5"/>
        <v>1.188300788425128</v>
      </c>
      <c r="P50" s="97">
        <f t="shared" si="10"/>
        <v>462.71000000000004</v>
      </c>
      <c r="Q50" s="97">
        <f t="shared" si="9"/>
        <v>555.25200000000007</v>
      </c>
      <c r="V50" s="49"/>
    </row>
    <row r="51" spans="1:22" s="61" customFormat="1" ht="15.75" hidden="1" customHeight="1">
      <c r="A51" s="51" t="s">
        <v>196</v>
      </c>
      <c r="B51" s="52" t="s">
        <v>344</v>
      </c>
      <c r="C51" s="53" t="s">
        <v>197</v>
      </c>
      <c r="D51" s="44">
        <f t="shared" si="12"/>
        <v>284.75</v>
      </c>
      <c r="E51" s="44">
        <v>6.1</v>
      </c>
      <c r="F51" s="45">
        <v>284.75</v>
      </c>
      <c r="G51" s="54">
        <v>124.32</v>
      </c>
      <c r="H51" s="44">
        <v>8.1999999999999993</v>
      </c>
      <c r="I51" s="43">
        <f t="shared" si="1"/>
        <v>417.27</v>
      </c>
      <c r="J51" s="54">
        <v>18.079999999999998</v>
      </c>
      <c r="K51" s="43">
        <f t="shared" si="2"/>
        <v>435.34999999999997</v>
      </c>
      <c r="L51" s="46">
        <f t="shared" si="3"/>
        <v>87.07</v>
      </c>
      <c r="M51" s="47">
        <f t="shared" si="4"/>
        <v>522.41999999999996</v>
      </c>
      <c r="N51" s="48">
        <v>439.64</v>
      </c>
      <c r="O51" s="48">
        <f t="shared" si="5"/>
        <v>1.1882904194340824</v>
      </c>
      <c r="P51" s="97">
        <f t="shared" si="10"/>
        <v>547.64</v>
      </c>
      <c r="Q51" s="97">
        <f t="shared" si="9"/>
        <v>657.16800000000001</v>
      </c>
      <c r="V51" s="49"/>
    </row>
    <row r="52" spans="1:22" s="61" customFormat="1" ht="15.75" hidden="1" customHeight="1">
      <c r="A52" s="51" t="s">
        <v>198</v>
      </c>
      <c r="B52" s="52" t="s">
        <v>346</v>
      </c>
      <c r="C52" s="53" t="s">
        <v>199</v>
      </c>
      <c r="D52" s="44">
        <f t="shared" si="12"/>
        <v>302.49</v>
      </c>
      <c r="E52" s="44">
        <v>6.48</v>
      </c>
      <c r="F52" s="45">
        <v>302.49</v>
      </c>
      <c r="G52" s="54">
        <v>132.06</v>
      </c>
      <c r="H52" s="54">
        <v>8.7200000000000006</v>
      </c>
      <c r="I52" s="43">
        <f t="shared" si="1"/>
        <v>443.27000000000004</v>
      </c>
      <c r="J52" s="54">
        <v>19.21</v>
      </c>
      <c r="K52" s="43">
        <f t="shared" si="2"/>
        <v>462.48</v>
      </c>
      <c r="L52" s="46">
        <f t="shared" si="3"/>
        <v>92.496000000000009</v>
      </c>
      <c r="M52" s="47">
        <f t="shared" si="4"/>
        <v>554.976</v>
      </c>
      <c r="N52" s="48">
        <v>467</v>
      </c>
      <c r="O52" s="48">
        <f t="shared" si="5"/>
        <v>1.1883854389721626</v>
      </c>
      <c r="P52" s="97">
        <f t="shared" si="10"/>
        <v>574.77</v>
      </c>
      <c r="Q52" s="97">
        <f t="shared" si="9"/>
        <v>689.72400000000005</v>
      </c>
      <c r="V52" s="49"/>
    </row>
    <row r="53" spans="1:22" s="61" customFormat="1" ht="15.75" hidden="1" customHeight="1">
      <c r="A53" s="51" t="s">
        <v>200</v>
      </c>
      <c r="B53" s="52" t="s">
        <v>347</v>
      </c>
      <c r="C53" s="53" t="s">
        <v>201</v>
      </c>
      <c r="D53" s="44">
        <f t="shared" si="12"/>
        <v>371.57</v>
      </c>
      <c r="E53" s="44">
        <v>7.96</v>
      </c>
      <c r="F53" s="45">
        <v>371.57</v>
      </c>
      <c r="G53" s="54">
        <v>162.22999999999999</v>
      </c>
      <c r="H53" s="54">
        <v>10.71</v>
      </c>
      <c r="I53" s="43">
        <f t="shared" si="1"/>
        <v>544.51</v>
      </c>
      <c r="J53" s="54">
        <v>23.6</v>
      </c>
      <c r="K53" s="43">
        <f t="shared" si="2"/>
        <v>568.11</v>
      </c>
      <c r="L53" s="46">
        <f t="shared" si="3"/>
        <v>113.62200000000001</v>
      </c>
      <c r="M53" s="47">
        <f t="shared" si="4"/>
        <v>681.73199999999997</v>
      </c>
      <c r="N53" s="48">
        <v>573.74</v>
      </c>
      <c r="O53" s="48">
        <f t="shared" si="5"/>
        <v>1.188224631366124</v>
      </c>
      <c r="P53" s="97">
        <f t="shared" si="10"/>
        <v>680.4</v>
      </c>
      <c r="Q53" s="97">
        <f t="shared" si="9"/>
        <v>816.48</v>
      </c>
      <c r="V53" s="49"/>
    </row>
    <row r="54" spans="1:22" s="62" customFormat="1" ht="15.75" hidden="1" customHeight="1">
      <c r="A54" s="51" t="s">
        <v>202</v>
      </c>
      <c r="B54" s="52" t="s">
        <v>348</v>
      </c>
      <c r="C54" s="53" t="s">
        <v>203</v>
      </c>
      <c r="D54" s="44">
        <f t="shared" si="12"/>
        <v>468.2</v>
      </c>
      <c r="E54" s="44">
        <v>10.029999999999999</v>
      </c>
      <c r="F54" s="45">
        <v>468.2</v>
      </c>
      <c r="G54" s="54">
        <v>204.41</v>
      </c>
      <c r="H54" s="54">
        <v>13.49</v>
      </c>
      <c r="I54" s="43">
        <f t="shared" si="1"/>
        <v>686.1</v>
      </c>
      <c r="J54" s="54">
        <v>29.73</v>
      </c>
      <c r="K54" s="43">
        <f t="shared" si="2"/>
        <v>715.83</v>
      </c>
      <c r="L54" s="46">
        <f t="shared" si="3"/>
        <v>143.16600000000003</v>
      </c>
      <c r="M54" s="47">
        <f t="shared" si="4"/>
        <v>858.99600000000009</v>
      </c>
      <c r="N54" s="48">
        <v>722.92</v>
      </c>
      <c r="O54" s="48">
        <f t="shared" si="5"/>
        <v>1.1882310629115256</v>
      </c>
      <c r="P54" s="97">
        <f t="shared" si="10"/>
        <v>828.12</v>
      </c>
      <c r="Q54" s="97">
        <f t="shared" si="9"/>
        <v>993.74400000000014</v>
      </c>
      <c r="V54" s="49"/>
    </row>
    <row r="55" spans="1:22" s="62" customFormat="1" ht="15.75" hidden="1" customHeight="1">
      <c r="A55" s="51" t="s">
        <v>204</v>
      </c>
      <c r="B55" s="52" t="s">
        <v>364</v>
      </c>
      <c r="C55" s="53" t="s">
        <v>206</v>
      </c>
      <c r="D55" s="44">
        <f t="shared" si="12"/>
        <v>529.35</v>
      </c>
      <c r="E55" s="44">
        <v>11.34</v>
      </c>
      <c r="F55" s="45">
        <v>529.35</v>
      </c>
      <c r="G55" s="54">
        <v>231.1</v>
      </c>
      <c r="H55" s="54">
        <v>15.26</v>
      </c>
      <c r="I55" s="43">
        <f t="shared" si="1"/>
        <v>775.71</v>
      </c>
      <c r="J55" s="54">
        <v>33.630000000000003</v>
      </c>
      <c r="K55" s="43">
        <f t="shared" si="2"/>
        <v>809.34</v>
      </c>
      <c r="L55" s="46">
        <f t="shared" si="3"/>
        <v>161.86800000000002</v>
      </c>
      <c r="M55" s="47">
        <f t="shared" si="4"/>
        <v>971.20800000000008</v>
      </c>
      <c r="N55" s="48">
        <v>817.37</v>
      </c>
      <c r="O55" s="48">
        <f t="shared" si="5"/>
        <v>1.1882109693284559</v>
      </c>
      <c r="P55" s="97">
        <f t="shared" si="10"/>
        <v>921.63</v>
      </c>
      <c r="Q55" s="97">
        <f t="shared" si="9"/>
        <v>1105.9560000000001</v>
      </c>
      <c r="V55" s="49"/>
    </row>
    <row r="56" spans="1:22" ht="15.75" hidden="1" customHeight="1">
      <c r="A56" s="51" t="s">
        <v>207</v>
      </c>
      <c r="B56" s="52" t="s">
        <v>365</v>
      </c>
      <c r="C56" s="53" t="s">
        <v>209</v>
      </c>
      <c r="D56" s="44">
        <f t="shared" si="12"/>
        <v>598.44000000000005</v>
      </c>
      <c r="E56" s="44">
        <v>12.82</v>
      </c>
      <c r="F56" s="45">
        <v>598.44000000000005</v>
      </c>
      <c r="G56" s="54">
        <v>261.27</v>
      </c>
      <c r="H56" s="54">
        <v>17.260000000000002</v>
      </c>
      <c r="I56" s="43">
        <f t="shared" si="1"/>
        <v>876.97</v>
      </c>
      <c r="J56" s="54">
        <v>38.020000000000003</v>
      </c>
      <c r="K56" s="43">
        <f t="shared" si="2"/>
        <v>914.99</v>
      </c>
      <c r="L56" s="46">
        <f t="shared" si="3"/>
        <v>182.99800000000002</v>
      </c>
      <c r="M56" s="47">
        <f t="shared" si="4"/>
        <v>1097.9880000000001</v>
      </c>
      <c r="N56" s="48">
        <v>924.05</v>
      </c>
      <c r="O56" s="48">
        <f t="shared" si="5"/>
        <v>1.188234402900276</v>
      </c>
      <c r="P56" s="97">
        <f t="shared" si="10"/>
        <v>1027.28</v>
      </c>
      <c r="Q56" s="97">
        <f t="shared" si="9"/>
        <v>1232.7360000000001</v>
      </c>
      <c r="V56" s="49"/>
    </row>
    <row r="57" spans="1:22" ht="15.75" hidden="1" customHeight="1">
      <c r="A57" s="51" t="s">
        <v>210</v>
      </c>
      <c r="B57" s="52" t="s">
        <v>366</v>
      </c>
      <c r="C57" s="53" t="s">
        <v>212</v>
      </c>
      <c r="D57" s="44">
        <f t="shared" si="12"/>
        <v>771.62</v>
      </c>
      <c r="E57" s="44">
        <v>16.53</v>
      </c>
      <c r="F57" s="45">
        <v>771.62</v>
      </c>
      <c r="G57" s="54">
        <v>336.88</v>
      </c>
      <c r="H57" s="54">
        <v>22.24</v>
      </c>
      <c r="I57" s="43">
        <f t="shared" si="1"/>
        <v>1130.74</v>
      </c>
      <c r="J57" s="54">
        <v>49</v>
      </c>
      <c r="K57" s="43">
        <f t="shared" si="2"/>
        <v>1179.74</v>
      </c>
      <c r="L57" s="46">
        <f t="shared" si="3"/>
        <v>235.94800000000001</v>
      </c>
      <c r="M57" s="47">
        <f t="shared" si="4"/>
        <v>1415.6880000000001</v>
      </c>
      <c r="N57" s="48">
        <v>1191.42</v>
      </c>
      <c r="O57" s="48">
        <f t="shared" si="5"/>
        <v>1.1882358865891121</v>
      </c>
      <c r="P57" s="97">
        <f t="shared" si="10"/>
        <v>1292.03</v>
      </c>
      <c r="Q57" s="97">
        <f t="shared" si="9"/>
        <v>1550.4360000000001</v>
      </c>
      <c r="V57" s="49"/>
    </row>
    <row r="58" spans="1:22" ht="15.75" hidden="1" customHeight="1">
      <c r="A58" s="51" t="s">
        <v>213</v>
      </c>
      <c r="B58" s="52" t="s">
        <v>367</v>
      </c>
      <c r="C58" s="53" t="s">
        <v>215</v>
      </c>
      <c r="D58" s="44">
        <f t="shared" si="12"/>
        <v>815.5</v>
      </c>
      <c r="E58" s="44">
        <v>17.47</v>
      </c>
      <c r="F58" s="45">
        <v>815.5</v>
      </c>
      <c r="G58" s="54">
        <v>356.04</v>
      </c>
      <c r="H58" s="54">
        <v>23.51</v>
      </c>
      <c r="I58" s="43">
        <f t="shared" si="1"/>
        <v>1195.05</v>
      </c>
      <c r="J58" s="54">
        <v>51.79</v>
      </c>
      <c r="K58" s="43">
        <f t="shared" si="2"/>
        <v>1246.8399999999999</v>
      </c>
      <c r="L58" s="46">
        <f t="shared" si="3"/>
        <v>249.36799999999999</v>
      </c>
      <c r="M58" s="47">
        <f t="shared" si="4"/>
        <v>1496.2079999999999</v>
      </c>
      <c r="N58" s="48">
        <v>1259.1600000000001</v>
      </c>
      <c r="O58" s="48">
        <f t="shared" si="5"/>
        <v>1.1882588392261506</v>
      </c>
      <c r="P58" s="97">
        <f t="shared" si="10"/>
        <v>1359.1299999999999</v>
      </c>
      <c r="Q58" s="97">
        <f t="shared" si="9"/>
        <v>1630.9559999999999</v>
      </c>
      <c r="V58" s="49"/>
    </row>
    <row r="59" spans="1:22" ht="15.75" hidden="1" customHeight="1">
      <c r="A59" s="51" t="s">
        <v>216</v>
      </c>
      <c r="B59" s="52" t="s">
        <v>368</v>
      </c>
      <c r="C59" s="53" t="s">
        <v>218</v>
      </c>
      <c r="D59" s="44">
        <f t="shared" si="12"/>
        <v>870.58</v>
      </c>
      <c r="E59" s="44">
        <v>18.649999999999999</v>
      </c>
      <c r="F59" s="45">
        <v>870.58</v>
      </c>
      <c r="G59" s="54">
        <v>380.08</v>
      </c>
      <c r="H59" s="54">
        <v>25.09</v>
      </c>
      <c r="I59" s="43">
        <f t="shared" si="1"/>
        <v>1275.75</v>
      </c>
      <c r="J59" s="54">
        <v>55.28</v>
      </c>
      <c r="K59" s="43">
        <f t="shared" si="2"/>
        <v>1331.03</v>
      </c>
      <c r="L59" s="46">
        <f t="shared" si="3"/>
        <v>266.20600000000002</v>
      </c>
      <c r="M59" s="47">
        <f t="shared" si="4"/>
        <v>1597.2359999999999</v>
      </c>
      <c r="N59" s="48">
        <v>1344.22</v>
      </c>
      <c r="O59" s="48">
        <f t="shared" si="5"/>
        <v>1.1882251417178735</v>
      </c>
      <c r="P59" s="97">
        <f t="shared" si="10"/>
        <v>1443.32</v>
      </c>
      <c r="Q59" s="97">
        <f t="shared" si="9"/>
        <v>1731.9839999999999</v>
      </c>
      <c r="V59" s="49"/>
    </row>
    <row r="60" spans="1:22" ht="15.75" hidden="1" customHeight="1">
      <c r="A60" s="51" t="s">
        <v>219</v>
      </c>
      <c r="B60" s="52" t="s">
        <v>306</v>
      </c>
      <c r="C60" s="59"/>
      <c r="D60" s="54"/>
      <c r="E60" s="54"/>
      <c r="F60" s="54"/>
      <c r="G60" s="54"/>
      <c r="H60" s="54"/>
      <c r="I60" s="43"/>
      <c r="J60" s="55"/>
      <c r="K60" s="43"/>
      <c r="L60" s="46"/>
      <c r="M60" s="47"/>
      <c r="N60" s="48"/>
      <c r="O60" s="48"/>
      <c r="P60" s="97"/>
      <c r="Q60" s="97"/>
      <c r="V60" s="49"/>
    </row>
    <row r="61" spans="1:22" ht="15.75" hidden="1" customHeight="1">
      <c r="A61" s="51" t="s">
        <v>43</v>
      </c>
      <c r="B61" s="52" t="s">
        <v>362</v>
      </c>
      <c r="C61" s="53" t="s">
        <v>221</v>
      </c>
      <c r="D61" s="44">
        <f t="shared" ref="D61:D64" si="13">F61</f>
        <v>102.84</v>
      </c>
      <c r="E61" s="44">
        <v>2.64</v>
      </c>
      <c r="F61" s="45">
        <v>102.84</v>
      </c>
      <c r="G61" s="54">
        <v>53.27</v>
      </c>
      <c r="H61" s="54">
        <v>3.65</v>
      </c>
      <c r="I61" s="43">
        <f t="shared" si="1"/>
        <v>159.76000000000002</v>
      </c>
      <c r="J61" s="54">
        <v>8.0500000000000007</v>
      </c>
      <c r="K61" s="43">
        <f t="shared" si="2"/>
        <v>167.81000000000003</v>
      </c>
      <c r="L61" s="46">
        <f t="shared" si="3"/>
        <v>33.562000000000005</v>
      </c>
      <c r="M61" s="47">
        <f t="shared" si="4"/>
        <v>201.37200000000004</v>
      </c>
      <c r="N61" s="48">
        <v>167.2</v>
      </c>
      <c r="O61" s="48">
        <f t="shared" si="5"/>
        <v>1.2043779904306224</v>
      </c>
      <c r="P61" s="97">
        <f t="shared" si="10"/>
        <v>280.10000000000002</v>
      </c>
      <c r="Q61" s="97">
        <f t="shared" si="9"/>
        <v>336.12000000000006</v>
      </c>
      <c r="V61" s="49"/>
    </row>
    <row r="62" spans="1:22" ht="15.75" hidden="1" customHeight="1">
      <c r="A62" s="51" t="s">
        <v>45</v>
      </c>
      <c r="B62" s="52" t="s">
        <v>336</v>
      </c>
      <c r="C62" s="53" t="s">
        <v>222</v>
      </c>
      <c r="D62" s="44">
        <f t="shared" si="13"/>
        <v>184.65</v>
      </c>
      <c r="E62" s="44">
        <v>4.75</v>
      </c>
      <c r="F62" s="45">
        <v>184.65</v>
      </c>
      <c r="G62" s="54">
        <v>95.63</v>
      </c>
      <c r="H62" s="54">
        <v>6.57</v>
      </c>
      <c r="I62" s="43">
        <f t="shared" si="1"/>
        <v>286.84999999999997</v>
      </c>
      <c r="J62" s="54">
        <v>14.47</v>
      </c>
      <c r="K62" s="43">
        <f t="shared" si="2"/>
        <v>301.32</v>
      </c>
      <c r="L62" s="46">
        <f t="shared" si="3"/>
        <v>60.264000000000003</v>
      </c>
      <c r="M62" s="47">
        <f t="shared" si="4"/>
        <v>361.584</v>
      </c>
      <c r="N62" s="48">
        <v>300.82</v>
      </c>
      <c r="O62" s="48">
        <f t="shared" si="5"/>
        <v>1.2019945482348249</v>
      </c>
      <c r="P62" s="97">
        <f t="shared" si="10"/>
        <v>413.61</v>
      </c>
      <c r="Q62" s="97">
        <f t="shared" si="9"/>
        <v>496.33199999999999</v>
      </c>
      <c r="V62" s="49"/>
    </row>
    <row r="63" spans="1:22" ht="15.75" hidden="1" customHeight="1">
      <c r="A63" s="51" t="s">
        <v>223</v>
      </c>
      <c r="B63" s="52" t="s">
        <v>224</v>
      </c>
      <c r="C63" s="53" t="s">
        <v>225</v>
      </c>
      <c r="D63" s="44">
        <f t="shared" si="13"/>
        <v>39.76</v>
      </c>
      <c r="E63" s="44">
        <v>1.02</v>
      </c>
      <c r="F63" s="45">
        <v>39.76</v>
      </c>
      <c r="G63" s="54">
        <v>20.59</v>
      </c>
      <c r="H63" s="54">
        <v>1.41</v>
      </c>
      <c r="I63" s="43">
        <f t="shared" si="1"/>
        <v>61.759999999999991</v>
      </c>
      <c r="J63" s="54">
        <v>3.12</v>
      </c>
      <c r="K63" s="43">
        <f t="shared" si="2"/>
        <v>64.88</v>
      </c>
      <c r="L63" s="46">
        <f t="shared" si="3"/>
        <v>12.975999999999999</v>
      </c>
      <c r="M63" s="47">
        <f t="shared" si="4"/>
        <v>77.855999999999995</v>
      </c>
      <c r="N63" s="48">
        <v>64.62</v>
      </c>
      <c r="O63" s="48">
        <f t="shared" si="5"/>
        <v>1.2048282265552459</v>
      </c>
      <c r="P63" s="97"/>
      <c r="Q63" s="97"/>
      <c r="V63" s="49"/>
    </row>
    <row r="64" spans="1:22" ht="15.75" customHeight="1" thickBot="1">
      <c r="A64" s="89" t="s">
        <v>49</v>
      </c>
      <c r="B64" s="90" t="s">
        <v>226</v>
      </c>
      <c r="C64" s="91" t="s">
        <v>227</v>
      </c>
      <c r="D64" s="92">
        <f t="shared" si="13"/>
        <v>68.81</v>
      </c>
      <c r="E64" s="92">
        <v>1.77</v>
      </c>
      <c r="F64" s="93">
        <v>68.81</v>
      </c>
      <c r="G64" s="93">
        <v>35.64</v>
      </c>
      <c r="H64" s="93">
        <v>2.4500000000000002</v>
      </c>
      <c r="I64" s="92">
        <f t="shared" si="1"/>
        <v>106.9</v>
      </c>
      <c r="J64" s="93">
        <v>5.39</v>
      </c>
      <c r="K64" s="92">
        <f t="shared" si="2"/>
        <v>112.29</v>
      </c>
      <c r="L64" s="94">
        <f t="shared" si="3"/>
        <v>22.458000000000002</v>
      </c>
      <c r="M64" s="95">
        <f t="shared" si="4"/>
        <v>134.74800000000002</v>
      </c>
      <c r="N64" s="48">
        <v>112.1</v>
      </c>
      <c r="O64" s="48">
        <f t="shared" si="5"/>
        <v>1.2020338983050849</v>
      </c>
      <c r="P64" s="98"/>
      <c r="Q64" s="97"/>
      <c r="V64" s="49"/>
    </row>
    <row r="65" spans="1:22" ht="15.6">
      <c r="A65" s="63"/>
      <c r="B65" s="9"/>
      <c r="C65" s="64"/>
      <c r="D65" s="9"/>
      <c r="E65" s="9"/>
      <c r="F65" s="9"/>
      <c r="G65" s="9"/>
      <c r="H65" s="9"/>
      <c r="I65" s="9"/>
      <c r="J65" s="9"/>
      <c r="K65" s="9"/>
      <c r="L65" s="9"/>
      <c r="M65" s="9"/>
      <c r="V65" s="49"/>
    </row>
    <row r="66" spans="1:22" ht="15.6">
      <c r="A66" s="63"/>
      <c r="B66" s="9"/>
      <c r="C66" s="64"/>
      <c r="D66" s="9"/>
      <c r="E66" s="9"/>
      <c r="F66" s="9"/>
      <c r="G66" s="9"/>
      <c r="H66" s="9"/>
      <c r="I66" s="9"/>
      <c r="J66" s="9"/>
      <c r="K66" s="9"/>
      <c r="L66" s="9"/>
      <c r="M66" s="9"/>
      <c r="V66" s="49"/>
    </row>
    <row r="67" spans="1:22" ht="15.6" hidden="1">
      <c r="A67" s="65"/>
      <c r="B67" s="65" t="s">
        <v>369</v>
      </c>
      <c r="C67" s="65"/>
      <c r="D67" s="65"/>
      <c r="E67" s="65"/>
      <c r="F67" s="65"/>
      <c r="G67" s="65"/>
      <c r="H67" s="65"/>
      <c r="I67" s="65"/>
      <c r="J67" s="65"/>
      <c r="K67" s="66"/>
      <c r="L67" s="67"/>
      <c r="M67" s="68"/>
      <c r="V67" s="49"/>
    </row>
    <row r="68" spans="1:22" ht="15.6" hidden="1">
      <c r="A68" s="69"/>
      <c r="B68" s="70"/>
      <c r="C68" s="71"/>
      <c r="D68" s="72"/>
      <c r="E68" s="72"/>
      <c r="F68" s="3"/>
      <c r="G68" s="4"/>
      <c r="H68" s="4"/>
      <c r="I68" s="4"/>
      <c r="J68" s="4"/>
      <c r="K68" s="4"/>
      <c r="L68" s="4"/>
      <c r="M68" s="4"/>
      <c r="V68" s="49"/>
    </row>
    <row r="69" spans="1:22" hidden="1">
      <c r="B69" s="74" t="s">
        <v>370</v>
      </c>
      <c r="C69" s="75"/>
      <c r="D69" s="76"/>
      <c r="E69" s="76"/>
      <c r="F69" s="77"/>
      <c r="G69" s="78"/>
      <c r="H69" s="78"/>
      <c r="I69" s="78"/>
      <c r="J69" s="78"/>
      <c r="K69" s="78"/>
      <c r="L69" s="78"/>
      <c r="M69" s="78"/>
      <c r="V69" s="49"/>
    </row>
    <row r="70" spans="1:22" hidden="1">
      <c r="B70" s="79" t="s">
        <v>371</v>
      </c>
      <c r="C70" s="80"/>
      <c r="D70" s="81"/>
      <c r="E70" s="81"/>
      <c r="F70" s="82"/>
      <c r="G70" s="83"/>
      <c r="H70" s="83"/>
      <c r="I70" s="83"/>
      <c r="J70" s="83"/>
      <c r="K70" s="83"/>
      <c r="L70" s="83"/>
      <c r="M70" s="83"/>
      <c r="V70" s="49"/>
    </row>
    <row r="71" spans="1:22">
      <c r="B71" s="84"/>
      <c r="C71" s="80"/>
      <c r="D71" s="81"/>
      <c r="E71" s="81"/>
      <c r="F71" s="82"/>
      <c r="G71" s="83"/>
      <c r="H71" s="83"/>
      <c r="I71" s="83"/>
      <c r="J71" s="83"/>
      <c r="K71" s="83"/>
      <c r="L71" s="83"/>
      <c r="M71" s="83"/>
      <c r="V71" s="49"/>
    </row>
    <row r="72" spans="1:22">
      <c r="B72" s="85"/>
      <c r="C72" s="86"/>
      <c r="D72" s="85"/>
      <c r="E72" s="85"/>
      <c r="F72" s="87"/>
      <c r="G72" s="48"/>
      <c r="H72" s="48"/>
      <c r="I72" s="48"/>
      <c r="J72" s="48"/>
      <c r="K72" s="48"/>
      <c r="L72" s="48"/>
      <c r="M72" s="48"/>
    </row>
    <row r="73" spans="1:22">
      <c r="B73" s="85"/>
      <c r="C73" s="86"/>
      <c r="D73" s="85"/>
      <c r="E73" s="85"/>
      <c r="F73" s="87"/>
      <c r="G73" s="48"/>
      <c r="H73" s="48"/>
      <c r="I73" s="48"/>
      <c r="J73" s="48"/>
      <c r="K73" s="48"/>
      <c r="L73" s="48"/>
      <c r="M73" s="48"/>
    </row>
  </sheetData>
  <mergeCells count="9">
    <mergeCell ref="A5:M5"/>
    <mergeCell ref="A6:M6"/>
    <mergeCell ref="A8:B8"/>
    <mergeCell ref="A1:B1"/>
    <mergeCell ref="J1:M1"/>
    <mergeCell ref="A2:B2"/>
    <mergeCell ref="J2:M2"/>
    <mergeCell ref="A3:B3"/>
    <mergeCell ref="I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4"/>
  <sheetViews>
    <sheetView zoomScale="80" zoomScaleNormal="80" workbookViewId="0">
      <selection activeCell="C69" sqref="C69"/>
    </sheetView>
  </sheetViews>
  <sheetFormatPr defaultRowHeight="15"/>
  <cols>
    <col min="1" max="1" width="8.85546875" style="73" customWidth="1"/>
    <col min="2" max="2" width="56.85546875" customWidth="1"/>
    <col min="3" max="3" width="14.140625" style="88" customWidth="1"/>
    <col min="4" max="4" width="15.85546875" customWidth="1"/>
    <col min="5" max="5" width="17" customWidth="1"/>
    <col min="6" max="6" width="15" customWidth="1"/>
    <col min="7" max="7" width="20" customWidth="1"/>
    <col min="8" max="8" width="16.140625" style="350" customWidth="1"/>
    <col min="9" max="9" width="19.7109375" customWidth="1"/>
    <col min="10" max="10" width="22.5703125" style="350" customWidth="1"/>
    <col min="11" max="11" width="11.85546875" style="350" customWidth="1"/>
    <col min="12" max="12" width="21.140625" style="350" customWidth="1"/>
  </cols>
  <sheetData>
    <row r="1" spans="1:15" s="11" customFormat="1" ht="19.5" customHeight="1">
      <c r="A1" s="675" t="s">
        <v>79</v>
      </c>
      <c r="B1" s="675"/>
      <c r="C1" s="675"/>
      <c r="D1" s="675"/>
      <c r="E1" s="675"/>
      <c r="F1" s="675"/>
      <c r="G1" s="675"/>
      <c r="H1" s="675"/>
      <c r="I1" s="675"/>
      <c r="J1" s="675"/>
      <c r="K1" s="675"/>
      <c r="L1" s="675"/>
    </row>
    <row r="2" spans="1:15" s="11" customFormat="1" ht="42.75" customHeight="1">
      <c r="A2" s="673" t="s">
        <v>80</v>
      </c>
      <c r="B2" s="673"/>
      <c r="C2" s="673"/>
      <c r="D2" s="673"/>
      <c r="E2" s="673"/>
      <c r="F2" s="673"/>
      <c r="G2" s="673"/>
      <c r="H2" s="673"/>
      <c r="I2" s="673"/>
      <c r="J2" s="673"/>
      <c r="K2" s="673"/>
      <c r="L2" s="673"/>
    </row>
    <row r="3" spans="1:15" s="11" customFormat="1" ht="17.25" customHeight="1">
      <c r="A3" s="131"/>
      <c r="B3" s="131"/>
      <c r="C3" s="131"/>
      <c r="D3" s="131"/>
      <c r="E3" s="131"/>
      <c r="F3" s="131"/>
      <c r="G3" s="131"/>
      <c r="H3" s="312"/>
      <c r="I3" s="131"/>
      <c r="J3" s="312"/>
      <c r="K3" s="312"/>
      <c r="L3" s="312"/>
    </row>
    <row r="4" spans="1:15" s="320" customFormat="1" ht="15.75" customHeight="1" thickBot="1">
      <c r="A4" s="674" t="str">
        <f>'[1]МР1 ТУ'!A11</f>
        <v>Вводиться в дію з "01" жовтня 2023р.</v>
      </c>
      <c r="B4" s="674"/>
      <c r="C4" s="313"/>
      <c r="D4" s="314"/>
      <c r="E4" s="315"/>
      <c r="F4" s="315"/>
      <c r="G4" s="315"/>
      <c r="H4" s="316"/>
      <c r="I4" s="315"/>
      <c r="J4" s="317"/>
      <c r="K4" s="318"/>
      <c r="L4" s="319" t="s">
        <v>81</v>
      </c>
    </row>
    <row r="5" spans="1:15" ht="87" customHeight="1" thickBot="1">
      <c r="A5" s="274" t="s">
        <v>82</v>
      </c>
      <c r="B5" s="275" t="s">
        <v>83</v>
      </c>
      <c r="C5" s="276" t="s">
        <v>84</v>
      </c>
      <c r="D5" s="278" t="s">
        <v>85</v>
      </c>
      <c r="E5" s="277" t="s">
        <v>86</v>
      </c>
      <c r="F5" s="277" t="s">
        <v>87</v>
      </c>
      <c r="G5" s="277" t="s">
        <v>88</v>
      </c>
      <c r="H5" s="321" t="s">
        <v>89</v>
      </c>
      <c r="I5" s="277" t="s">
        <v>90</v>
      </c>
      <c r="J5" s="322" t="s">
        <v>91</v>
      </c>
      <c r="K5" s="322" t="s">
        <v>92</v>
      </c>
      <c r="L5" s="323" t="s">
        <v>93</v>
      </c>
    </row>
    <row r="6" spans="1:15" ht="45" customHeight="1">
      <c r="A6" s="153" t="s">
        <v>94</v>
      </c>
      <c r="B6" s="154" t="s">
        <v>95</v>
      </c>
      <c r="C6" s="377" t="s">
        <v>96</v>
      </c>
      <c r="D6" s="156"/>
      <c r="E6" s="156"/>
      <c r="F6" s="156"/>
      <c r="G6" s="156"/>
      <c r="H6" s="324"/>
      <c r="I6" s="156"/>
      <c r="J6" s="325"/>
      <c r="K6" s="325"/>
      <c r="L6" s="326"/>
    </row>
    <row r="7" spans="1:15" ht="18" customHeight="1">
      <c r="A7" s="159" t="s">
        <v>97</v>
      </c>
      <c r="B7" s="160" t="s">
        <v>98</v>
      </c>
      <c r="C7" s="161" t="s">
        <v>99</v>
      </c>
      <c r="D7" s="327">
        <v>10.73</v>
      </c>
      <c r="E7" s="328">
        <v>1558</v>
      </c>
      <c r="F7" s="328">
        <v>690</v>
      </c>
      <c r="G7" s="328">
        <v>3</v>
      </c>
      <c r="H7" s="328">
        <f>E7+F7+G7</f>
        <v>2251</v>
      </c>
      <c r="I7" s="328">
        <v>225.1</v>
      </c>
      <c r="J7" s="329">
        <f>H7+I7</f>
        <v>2476.1</v>
      </c>
      <c r="K7" s="328">
        <f>J7*0.2</f>
        <v>495.22</v>
      </c>
      <c r="L7" s="330">
        <f>J7+K7</f>
        <v>2971.3199999999997</v>
      </c>
      <c r="O7" s="49"/>
    </row>
    <row r="8" spans="1:15" ht="18" customHeight="1">
      <c r="A8" s="159" t="s">
        <v>100</v>
      </c>
      <c r="B8" s="160" t="s">
        <v>101</v>
      </c>
      <c r="C8" s="161" t="s">
        <v>102</v>
      </c>
      <c r="D8" s="327">
        <v>11.65</v>
      </c>
      <c r="E8" s="328">
        <v>2030</v>
      </c>
      <c r="F8" s="328">
        <v>900</v>
      </c>
      <c r="G8" s="328">
        <v>4</v>
      </c>
      <c r="H8" s="328">
        <f>E8+F8+G8</f>
        <v>2934</v>
      </c>
      <c r="I8" s="328">
        <v>293.39999999999998</v>
      </c>
      <c r="J8" s="329">
        <f>H8+I8</f>
        <v>3227.4</v>
      </c>
      <c r="K8" s="328">
        <f t="shared" ref="K8:K60" si="0">J8*0.2</f>
        <v>645.48</v>
      </c>
      <c r="L8" s="330">
        <f t="shared" ref="L8:L60" si="1">J8+K8</f>
        <v>3872.88</v>
      </c>
      <c r="O8" s="49"/>
    </row>
    <row r="9" spans="1:15" ht="18" customHeight="1">
      <c r="A9" s="159" t="s">
        <v>103</v>
      </c>
      <c r="B9" s="160" t="s">
        <v>104</v>
      </c>
      <c r="C9" s="161" t="s">
        <v>105</v>
      </c>
      <c r="D9" s="327">
        <v>14.75</v>
      </c>
      <c r="E9" s="328">
        <v>2570</v>
      </c>
      <c r="F9" s="328">
        <v>1137</v>
      </c>
      <c r="G9" s="328">
        <v>5</v>
      </c>
      <c r="H9" s="328">
        <f>E9+F9+G9</f>
        <v>3712</v>
      </c>
      <c r="I9" s="328">
        <v>371.2</v>
      </c>
      <c r="J9" s="329">
        <f>H9+I9</f>
        <v>4083.2</v>
      </c>
      <c r="K9" s="328">
        <f t="shared" si="0"/>
        <v>816.64</v>
      </c>
      <c r="L9" s="330">
        <f t="shared" si="1"/>
        <v>4899.84</v>
      </c>
      <c r="O9" s="49"/>
    </row>
    <row r="10" spans="1:15" ht="18" customHeight="1">
      <c r="A10" s="159" t="s">
        <v>106</v>
      </c>
      <c r="B10" s="160" t="s">
        <v>107</v>
      </c>
      <c r="C10" s="161" t="s">
        <v>108</v>
      </c>
      <c r="D10" s="327">
        <v>17.47</v>
      </c>
      <c r="E10" s="328">
        <v>3044</v>
      </c>
      <c r="F10" s="328">
        <v>1348</v>
      </c>
      <c r="G10" s="328">
        <v>6</v>
      </c>
      <c r="H10" s="328">
        <f>E10+F10+G10</f>
        <v>4398</v>
      </c>
      <c r="I10" s="328">
        <v>439.8</v>
      </c>
      <c r="J10" s="329">
        <f>H10+I10</f>
        <v>4837.8</v>
      </c>
      <c r="K10" s="328">
        <f t="shared" si="0"/>
        <v>967.56000000000006</v>
      </c>
      <c r="L10" s="330">
        <f t="shared" si="1"/>
        <v>5805.3600000000006</v>
      </c>
      <c r="O10" s="49"/>
    </row>
    <row r="11" spans="1:15" ht="34.5" customHeight="1">
      <c r="A11" s="159" t="s">
        <v>109</v>
      </c>
      <c r="B11" s="160" t="s">
        <v>110</v>
      </c>
      <c r="C11" s="161"/>
      <c r="D11" s="331"/>
      <c r="E11" s="331"/>
      <c r="F11" s="331"/>
      <c r="G11" s="331"/>
      <c r="H11" s="328"/>
      <c r="I11" s="331"/>
      <c r="J11" s="329"/>
      <c r="K11" s="328"/>
      <c r="L11" s="330"/>
      <c r="O11" s="49"/>
    </row>
    <row r="12" spans="1:15" ht="17.25" customHeight="1">
      <c r="A12" s="168" t="s">
        <v>10</v>
      </c>
      <c r="B12" s="169" t="s">
        <v>111</v>
      </c>
      <c r="C12" s="170" t="s">
        <v>112</v>
      </c>
      <c r="D12" s="327">
        <v>4.1399999999999997</v>
      </c>
      <c r="E12" s="328">
        <v>721</v>
      </c>
      <c r="F12" s="327">
        <v>319</v>
      </c>
      <c r="G12" s="327">
        <v>2</v>
      </c>
      <c r="H12" s="328">
        <f t="shared" ref="H12:H18" si="2">E12+F12+G12</f>
        <v>1042</v>
      </c>
      <c r="I12" s="327">
        <v>104.2</v>
      </c>
      <c r="J12" s="329">
        <f t="shared" ref="J12:J18" si="3">H12+I12</f>
        <v>1146.2</v>
      </c>
      <c r="K12" s="328">
        <f t="shared" si="0"/>
        <v>229.24</v>
      </c>
      <c r="L12" s="330">
        <f t="shared" si="1"/>
        <v>1375.44</v>
      </c>
      <c r="O12" s="49"/>
    </row>
    <row r="13" spans="1:15" ht="17.25" customHeight="1">
      <c r="A13" s="168" t="s">
        <v>12</v>
      </c>
      <c r="B13" s="169" t="s">
        <v>113</v>
      </c>
      <c r="C13" s="170" t="s">
        <v>114</v>
      </c>
      <c r="D13" s="327">
        <v>5.31</v>
      </c>
      <c r="E13" s="328">
        <v>925</v>
      </c>
      <c r="F13" s="327">
        <v>409</v>
      </c>
      <c r="G13" s="327">
        <v>2</v>
      </c>
      <c r="H13" s="328">
        <f t="shared" si="2"/>
        <v>1336</v>
      </c>
      <c r="I13" s="327">
        <v>133.6</v>
      </c>
      <c r="J13" s="329">
        <f t="shared" si="3"/>
        <v>1469.6</v>
      </c>
      <c r="K13" s="328">
        <f t="shared" si="0"/>
        <v>293.92</v>
      </c>
      <c r="L13" s="330">
        <f t="shared" si="1"/>
        <v>1763.52</v>
      </c>
      <c r="O13" s="49"/>
    </row>
    <row r="14" spans="1:15" ht="17.25" customHeight="1">
      <c r="A14" s="168" t="s">
        <v>14</v>
      </c>
      <c r="B14" s="169" t="s">
        <v>115</v>
      </c>
      <c r="C14" s="170" t="s">
        <v>116</v>
      </c>
      <c r="D14" s="327">
        <v>6.34</v>
      </c>
      <c r="E14" s="328">
        <v>1105</v>
      </c>
      <c r="F14" s="327">
        <v>489</v>
      </c>
      <c r="G14" s="327">
        <v>2</v>
      </c>
      <c r="H14" s="328">
        <f t="shared" si="2"/>
        <v>1596</v>
      </c>
      <c r="I14" s="327">
        <v>159.6</v>
      </c>
      <c r="J14" s="329">
        <f t="shared" si="3"/>
        <v>1755.6</v>
      </c>
      <c r="K14" s="328">
        <f t="shared" si="0"/>
        <v>351.12</v>
      </c>
      <c r="L14" s="330">
        <f t="shared" si="1"/>
        <v>2106.7199999999998</v>
      </c>
      <c r="O14" s="49"/>
    </row>
    <row r="15" spans="1:15" ht="17.25" customHeight="1">
      <c r="A15" s="168" t="s">
        <v>16</v>
      </c>
      <c r="B15" s="169" t="s">
        <v>117</v>
      </c>
      <c r="C15" s="170" t="s">
        <v>118</v>
      </c>
      <c r="D15" s="327">
        <v>8.0399999999999991</v>
      </c>
      <c r="E15" s="328">
        <v>1401</v>
      </c>
      <c r="F15" s="327">
        <v>621</v>
      </c>
      <c r="G15" s="327">
        <v>3</v>
      </c>
      <c r="H15" s="328">
        <f t="shared" si="2"/>
        <v>2025</v>
      </c>
      <c r="I15" s="327">
        <v>202.5</v>
      </c>
      <c r="J15" s="329">
        <f t="shared" si="3"/>
        <v>2227.5</v>
      </c>
      <c r="K15" s="328">
        <f t="shared" si="0"/>
        <v>445.5</v>
      </c>
      <c r="L15" s="330">
        <f t="shared" si="1"/>
        <v>2673</v>
      </c>
      <c r="O15" s="49"/>
    </row>
    <row r="16" spans="1:15" ht="17.25" customHeight="1">
      <c r="A16" s="168" t="s">
        <v>18</v>
      </c>
      <c r="B16" s="169" t="s">
        <v>119</v>
      </c>
      <c r="C16" s="170" t="s">
        <v>120</v>
      </c>
      <c r="D16" s="327">
        <v>8.68</v>
      </c>
      <c r="E16" s="328">
        <v>1512</v>
      </c>
      <c r="F16" s="327">
        <v>670</v>
      </c>
      <c r="G16" s="327">
        <v>3</v>
      </c>
      <c r="H16" s="328">
        <f t="shared" si="2"/>
        <v>2185</v>
      </c>
      <c r="I16" s="327">
        <v>218.5</v>
      </c>
      <c r="J16" s="329">
        <f t="shared" si="3"/>
        <v>2403.5</v>
      </c>
      <c r="K16" s="328">
        <f t="shared" si="0"/>
        <v>480.70000000000005</v>
      </c>
      <c r="L16" s="330">
        <f t="shared" si="1"/>
        <v>2884.2</v>
      </c>
      <c r="O16" s="49"/>
    </row>
    <row r="17" spans="1:15" ht="17.25" customHeight="1">
      <c r="A17" s="168" t="s">
        <v>121</v>
      </c>
      <c r="B17" s="169" t="s">
        <v>122</v>
      </c>
      <c r="C17" s="170" t="s">
        <v>123</v>
      </c>
      <c r="D17" s="327">
        <v>9.83</v>
      </c>
      <c r="E17" s="328">
        <v>1713</v>
      </c>
      <c r="F17" s="327">
        <v>758</v>
      </c>
      <c r="G17" s="327">
        <v>4</v>
      </c>
      <c r="H17" s="328">
        <f t="shared" si="2"/>
        <v>2475</v>
      </c>
      <c r="I17" s="327">
        <v>247.5</v>
      </c>
      <c r="J17" s="329">
        <f t="shared" si="3"/>
        <v>2722.5</v>
      </c>
      <c r="K17" s="328">
        <f t="shared" si="0"/>
        <v>544.5</v>
      </c>
      <c r="L17" s="330">
        <f t="shared" si="1"/>
        <v>3267</v>
      </c>
      <c r="O17" s="49"/>
    </row>
    <row r="18" spans="1:15" ht="17.25" customHeight="1">
      <c r="A18" s="168" t="s">
        <v>124</v>
      </c>
      <c r="B18" s="169" t="s">
        <v>125</v>
      </c>
      <c r="C18" s="170" t="s">
        <v>126</v>
      </c>
      <c r="D18" s="327">
        <v>11.25</v>
      </c>
      <c r="E18" s="328">
        <v>1960</v>
      </c>
      <c r="F18" s="327">
        <v>869</v>
      </c>
      <c r="G18" s="327">
        <v>4</v>
      </c>
      <c r="H18" s="328">
        <f t="shared" si="2"/>
        <v>2833</v>
      </c>
      <c r="I18" s="327">
        <v>283.3</v>
      </c>
      <c r="J18" s="329">
        <f t="shared" si="3"/>
        <v>3116.3</v>
      </c>
      <c r="K18" s="328">
        <f t="shared" si="0"/>
        <v>623.2600000000001</v>
      </c>
      <c r="L18" s="330">
        <f t="shared" si="1"/>
        <v>3739.5600000000004</v>
      </c>
      <c r="O18" s="49"/>
    </row>
    <row r="19" spans="1:15" ht="34.5" customHeight="1">
      <c r="A19" s="168" t="s">
        <v>127</v>
      </c>
      <c r="B19" s="169" t="s">
        <v>128</v>
      </c>
      <c r="C19" s="170"/>
      <c r="D19" s="332"/>
      <c r="E19" s="332"/>
      <c r="F19" s="332"/>
      <c r="G19" s="332"/>
      <c r="H19" s="328"/>
      <c r="I19" s="332"/>
      <c r="J19" s="329"/>
      <c r="K19" s="328"/>
      <c r="L19" s="330"/>
      <c r="O19" s="49"/>
    </row>
    <row r="20" spans="1:15" ht="17.25" customHeight="1">
      <c r="A20" s="168" t="s">
        <v>129</v>
      </c>
      <c r="B20" s="169" t="s">
        <v>130</v>
      </c>
      <c r="C20" s="170" t="s">
        <v>131</v>
      </c>
      <c r="D20" s="327">
        <v>8.84</v>
      </c>
      <c r="E20" s="328">
        <v>1540</v>
      </c>
      <c r="F20" s="327">
        <v>682</v>
      </c>
      <c r="G20" s="328">
        <v>3</v>
      </c>
      <c r="H20" s="328">
        <f t="shared" ref="H20:H31" si="4">E20+F20+G20</f>
        <v>2225</v>
      </c>
      <c r="I20" s="328">
        <v>222.5</v>
      </c>
      <c r="J20" s="329">
        <f t="shared" ref="J20:J31" si="5">H20+I20</f>
        <v>2447.5</v>
      </c>
      <c r="K20" s="328">
        <f t="shared" si="0"/>
        <v>489.5</v>
      </c>
      <c r="L20" s="330">
        <f t="shared" si="1"/>
        <v>2937</v>
      </c>
      <c r="O20" s="49"/>
    </row>
    <row r="21" spans="1:15" ht="17.25" customHeight="1">
      <c r="A21" s="168" t="s">
        <v>132</v>
      </c>
      <c r="B21" s="169" t="s">
        <v>122</v>
      </c>
      <c r="C21" s="170" t="s">
        <v>133</v>
      </c>
      <c r="D21" s="327">
        <v>9.76</v>
      </c>
      <c r="E21" s="328">
        <v>1700</v>
      </c>
      <c r="F21" s="327">
        <v>753</v>
      </c>
      <c r="G21" s="328">
        <v>4</v>
      </c>
      <c r="H21" s="328">
        <f t="shared" si="4"/>
        <v>2457</v>
      </c>
      <c r="I21" s="328">
        <v>245.7</v>
      </c>
      <c r="J21" s="329">
        <f t="shared" si="5"/>
        <v>2702.7</v>
      </c>
      <c r="K21" s="328">
        <f t="shared" si="0"/>
        <v>540.54</v>
      </c>
      <c r="L21" s="330">
        <f t="shared" si="1"/>
        <v>3243.24</v>
      </c>
      <c r="O21" s="49"/>
    </row>
    <row r="22" spans="1:15" ht="17.25" customHeight="1">
      <c r="A22" s="168" t="s">
        <v>134</v>
      </c>
      <c r="B22" s="169" t="s">
        <v>125</v>
      </c>
      <c r="C22" s="170" t="s">
        <v>135</v>
      </c>
      <c r="D22" s="327">
        <v>10.8</v>
      </c>
      <c r="E22" s="328">
        <v>1882</v>
      </c>
      <c r="F22" s="327">
        <v>833</v>
      </c>
      <c r="G22" s="328">
        <v>4</v>
      </c>
      <c r="H22" s="328">
        <f t="shared" si="4"/>
        <v>2719</v>
      </c>
      <c r="I22" s="328">
        <v>271.89999999999998</v>
      </c>
      <c r="J22" s="329">
        <f t="shared" si="5"/>
        <v>2990.9</v>
      </c>
      <c r="K22" s="328">
        <f t="shared" si="0"/>
        <v>598.18000000000006</v>
      </c>
      <c r="L22" s="330">
        <f t="shared" si="1"/>
        <v>3589.08</v>
      </c>
      <c r="O22" s="49"/>
    </row>
    <row r="23" spans="1:15" ht="17.25" customHeight="1">
      <c r="A23" s="168" t="s">
        <v>136</v>
      </c>
      <c r="B23" s="169" t="s">
        <v>137</v>
      </c>
      <c r="C23" s="170" t="s">
        <v>138</v>
      </c>
      <c r="D23" s="327">
        <v>12.1</v>
      </c>
      <c r="E23" s="328">
        <v>2108</v>
      </c>
      <c r="F23" s="327">
        <v>933</v>
      </c>
      <c r="G23" s="328">
        <v>4</v>
      </c>
      <c r="H23" s="328">
        <f t="shared" si="4"/>
        <v>3045</v>
      </c>
      <c r="I23" s="328">
        <v>304.5</v>
      </c>
      <c r="J23" s="329">
        <f t="shared" si="5"/>
        <v>3349.5</v>
      </c>
      <c r="K23" s="328">
        <f t="shared" si="0"/>
        <v>669.90000000000009</v>
      </c>
      <c r="L23" s="330">
        <f t="shared" si="1"/>
        <v>4019.4</v>
      </c>
      <c r="O23" s="49"/>
    </row>
    <row r="24" spans="1:15" ht="17.25" customHeight="1">
      <c r="A24" s="168" t="s">
        <v>139</v>
      </c>
      <c r="B24" s="169" t="s">
        <v>140</v>
      </c>
      <c r="C24" s="170" t="s">
        <v>141</v>
      </c>
      <c r="D24" s="327">
        <v>14.85</v>
      </c>
      <c r="E24" s="328">
        <v>2587</v>
      </c>
      <c r="F24" s="327">
        <v>1146</v>
      </c>
      <c r="G24" s="328">
        <v>5</v>
      </c>
      <c r="H24" s="328">
        <f t="shared" si="4"/>
        <v>3738</v>
      </c>
      <c r="I24" s="328">
        <v>373.8</v>
      </c>
      <c r="J24" s="329">
        <f t="shared" si="5"/>
        <v>4111.8</v>
      </c>
      <c r="K24" s="328">
        <f t="shared" si="0"/>
        <v>822.36000000000013</v>
      </c>
      <c r="L24" s="330">
        <f t="shared" si="1"/>
        <v>4934.16</v>
      </c>
      <c r="O24" s="49"/>
    </row>
    <row r="25" spans="1:15" ht="17.25" customHeight="1">
      <c r="A25" s="168" t="s">
        <v>142</v>
      </c>
      <c r="B25" s="169" t="s">
        <v>143</v>
      </c>
      <c r="C25" s="170" t="s">
        <v>144</v>
      </c>
      <c r="D25" s="327">
        <v>21.67</v>
      </c>
      <c r="E25" s="328">
        <v>3776</v>
      </c>
      <c r="F25" s="327">
        <v>1673</v>
      </c>
      <c r="G25" s="328">
        <v>8</v>
      </c>
      <c r="H25" s="328">
        <f t="shared" si="4"/>
        <v>5457</v>
      </c>
      <c r="I25" s="328">
        <v>545.70000000000005</v>
      </c>
      <c r="J25" s="329">
        <f t="shared" si="5"/>
        <v>6002.7</v>
      </c>
      <c r="K25" s="328">
        <f t="shared" si="0"/>
        <v>1200.54</v>
      </c>
      <c r="L25" s="330">
        <f t="shared" si="1"/>
        <v>7203.24</v>
      </c>
      <c r="O25" s="49"/>
    </row>
    <row r="26" spans="1:15" ht="17.25" customHeight="1">
      <c r="A26" s="168" t="s">
        <v>145</v>
      </c>
      <c r="B26" s="173" t="s">
        <v>146</v>
      </c>
      <c r="C26" s="170" t="s">
        <v>147</v>
      </c>
      <c r="D26" s="327">
        <v>26.04</v>
      </c>
      <c r="E26" s="328">
        <v>4537</v>
      </c>
      <c r="F26" s="327">
        <v>2009</v>
      </c>
      <c r="G26" s="328">
        <v>9</v>
      </c>
      <c r="H26" s="328">
        <f t="shared" si="4"/>
        <v>6555</v>
      </c>
      <c r="I26" s="328">
        <v>655.5</v>
      </c>
      <c r="J26" s="329">
        <f t="shared" si="5"/>
        <v>7210.5</v>
      </c>
      <c r="K26" s="328">
        <f t="shared" si="0"/>
        <v>1442.1000000000001</v>
      </c>
      <c r="L26" s="330">
        <f t="shared" si="1"/>
        <v>8652.6</v>
      </c>
      <c r="O26" s="49"/>
    </row>
    <row r="27" spans="1:15" ht="17.25" customHeight="1">
      <c r="A27" s="168" t="s">
        <v>148</v>
      </c>
      <c r="B27" s="173" t="s">
        <v>149</v>
      </c>
      <c r="C27" s="170" t="s">
        <v>150</v>
      </c>
      <c r="D27" s="327">
        <v>31.25</v>
      </c>
      <c r="E27" s="328">
        <v>5445</v>
      </c>
      <c r="F27" s="327">
        <v>2412</v>
      </c>
      <c r="G27" s="328">
        <v>11</v>
      </c>
      <c r="H27" s="328">
        <f t="shared" si="4"/>
        <v>7868</v>
      </c>
      <c r="I27" s="333">
        <v>786.8</v>
      </c>
      <c r="J27" s="329">
        <f t="shared" si="5"/>
        <v>8654.7999999999993</v>
      </c>
      <c r="K27" s="328">
        <f t="shared" si="0"/>
        <v>1730.96</v>
      </c>
      <c r="L27" s="330">
        <f t="shared" si="1"/>
        <v>10385.759999999998</v>
      </c>
      <c r="O27" s="49"/>
    </row>
    <row r="28" spans="1:15" ht="17.25" customHeight="1">
      <c r="A28" s="168" t="s">
        <v>151</v>
      </c>
      <c r="B28" s="173" t="s">
        <v>152</v>
      </c>
      <c r="C28" s="170" t="s">
        <v>153</v>
      </c>
      <c r="D28" s="327">
        <v>39.65</v>
      </c>
      <c r="E28" s="328">
        <v>6908</v>
      </c>
      <c r="F28" s="334">
        <v>3060</v>
      </c>
      <c r="G28" s="327">
        <v>14</v>
      </c>
      <c r="H28" s="328">
        <f t="shared" si="4"/>
        <v>9982</v>
      </c>
      <c r="I28" s="327">
        <v>998.2</v>
      </c>
      <c r="J28" s="329">
        <f t="shared" si="5"/>
        <v>10980.2</v>
      </c>
      <c r="K28" s="328">
        <f t="shared" si="0"/>
        <v>2196.0400000000004</v>
      </c>
      <c r="L28" s="330">
        <f t="shared" si="1"/>
        <v>13176.240000000002</v>
      </c>
      <c r="O28" s="49"/>
    </row>
    <row r="29" spans="1:15" ht="17.25" customHeight="1">
      <c r="A29" s="168" t="s">
        <v>154</v>
      </c>
      <c r="B29" s="173" t="s">
        <v>155</v>
      </c>
      <c r="C29" s="170" t="s">
        <v>156</v>
      </c>
      <c r="D29" s="327">
        <v>41.5</v>
      </c>
      <c r="E29" s="328">
        <v>7230</v>
      </c>
      <c r="F29" s="327">
        <v>3203</v>
      </c>
      <c r="G29" s="327">
        <v>15</v>
      </c>
      <c r="H29" s="328">
        <f t="shared" si="4"/>
        <v>10448</v>
      </c>
      <c r="I29" s="327">
        <v>1044.8</v>
      </c>
      <c r="J29" s="329">
        <f t="shared" si="5"/>
        <v>11492.8</v>
      </c>
      <c r="K29" s="328">
        <f t="shared" si="0"/>
        <v>2298.56</v>
      </c>
      <c r="L29" s="330">
        <f t="shared" si="1"/>
        <v>13791.359999999999</v>
      </c>
      <c r="O29" s="49"/>
    </row>
    <row r="30" spans="1:15" ht="17.25" customHeight="1">
      <c r="A30" s="168" t="s">
        <v>157</v>
      </c>
      <c r="B30" s="173" t="s">
        <v>158</v>
      </c>
      <c r="C30" s="170" t="s">
        <v>159</v>
      </c>
      <c r="D30" s="327">
        <v>46.7</v>
      </c>
      <c r="E30" s="328">
        <v>8136</v>
      </c>
      <c r="F30" s="334">
        <v>3604</v>
      </c>
      <c r="G30" s="327">
        <v>17</v>
      </c>
      <c r="H30" s="328">
        <f t="shared" si="4"/>
        <v>11757</v>
      </c>
      <c r="I30" s="327">
        <v>1175.7</v>
      </c>
      <c r="J30" s="329">
        <f t="shared" si="5"/>
        <v>12932.7</v>
      </c>
      <c r="K30" s="328">
        <f t="shared" si="0"/>
        <v>2586.5400000000004</v>
      </c>
      <c r="L30" s="330">
        <f t="shared" si="1"/>
        <v>15519.240000000002</v>
      </c>
      <c r="O30" s="49"/>
    </row>
    <row r="31" spans="1:15" ht="17.25" customHeight="1">
      <c r="A31" s="168" t="s">
        <v>160</v>
      </c>
      <c r="B31" s="173" t="s">
        <v>161</v>
      </c>
      <c r="C31" s="170" t="s">
        <v>162</v>
      </c>
      <c r="D31" s="327">
        <v>47.54</v>
      </c>
      <c r="E31" s="328">
        <v>8283</v>
      </c>
      <c r="F31" s="327">
        <v>3669</v>
      </c>
      <c r="G31" s="327">
        <v>17</v>
      </c>
      <c r="H31" s="328">
        <f t="shared" si="4"/>
        <v>11969</v>
      </c>
      <c r="I31" s="327">
        <v>1196.9000000000001</v>
      </c>
      <c r="J31" s="329">
        <f t="shared" si="5"/>
        <v>13165.9</v>
      </c>
      <c r="K31" s="328">
        <f t="shared" si="0"/>
        <v>2633.1800000000003</v>
      </c>
      <c r="L31" s="330">
        <f t="shared" si="1"/>
        <v>15799.08</v>
      </c>
      <c r="O31" s="49"/>
    </row>
    <row r="32" spans="1:15" ht="42.75" customHeight="1">
      <c r="A32" s="168" t="s">
        <v>163</v>
      </c>
      <c r="B32" s="169" t="s">
        <v>164</v>
      </c>
      <c r="C32" s="170"/>
      <c r="D32" s="332"/>
      <c r="E32" s="332"/>
      <c r="F32" s="332"/>
      <c r="G32" s="332"/>
      <c r="H32" s="328"/>
      <c r="I32" s="332"/>
      <c r="J32" s="329"/>
      <c r="K32" s="328"/>
      <c r="L32" s="330"/>
      <c r="O32" s="49"/>
    </row>
    <row r="33" spans="1:15" ht="18" customHeight="1">
      <c r="A33" s="168" t="s">
        <v>23</v>
      </c>
      <c r="B33" s="169" t="s">
        <v>165</v>
      </c>
      <c r="C33" s="170" t="s">
        <v>166</v>
      </c>
      <c r="D33" s="327">
        <v>5.66</v>
      </c>
      <c r="E33" s="328">
        <v>986</v>
      </c>
      <c r="F33" s="327">
        <v>436</v>
      </c>
      <c r="G33" s="327">
        <v>2</v>
      </c>
      <c r="H33" s="328">
        <f t="shared" ref="H33:H40" si="6">E33+F33+G33</f>
        <v>1424</v>
      </c>
      <c r="I33" s="327">
        <v>142.4</v>
      </c>
      <c r="J33" s="329">
        <f t="shared" ref="J33:J40" si="7">H33+I33</f>
        <v>1566.4</v>
      </c>
      <c r="K33" s="328">
        <f t="shared" si="0"/>
        <v>313.28000000000003</v>
      </c>
      <c r="L33" s="330">
        <f t="shared" si="1"/>
        <v>1879.68</v>
      </c>
      <c r="O33" s="49"/>
    </row>
    <row r="34" spans="1:15" ht="18" customHeight="1">
      <c r="A34" s="168" t="s">
        <v>25</v>
      </c>
      <c r="B34" s="169" t="s">
        <v>137</v>
      </c>
      <c r="C34" s="170" t="s">
        <v>167</v>
      </c>
      <c r="D34" s="327">
        <v>7.04</v>
      </c>
      <c r="E34" s="328">
        <v>1227</v>
      </c>
      <c r="F34" s="327">
        <v>542</v>
      </c>
      <c r="G34" s="327">
        <v>3</v>
      </c>
      <c r="H34" s="328">
        <f t="shared" si="6"/>
        <v>1772</v>
      </c>
      <c r="I34" s="327">
        <v>177.2</v>
      </c>
      <c r="J34" s="329">
        <f t="shared" si="7"/>
        <v>1949.2</v>
      </c>
      <c r="K34" s="328">
        <f t="shared" si="0"/>
        <v>389.84000000000003</v>
      </c>
      <c r="L34" s="330">
        <f t="shared" si="1"/>
        <v>2339.04</v>
      </c>
      <c r="O34" s="49"/>
    </row>
    <row r="35" spans="1:15" ht="18" customHeight="1">
      <c r="A35" s="168" t="s">
        <v>27</v>
      </c>
      <c r="B35" s="169" t="s">
        <v>140</v>
      </c>
      <c r="C35" s="170" t="s">
        <v>168</v>
      </c>
      <c r="D35" s="327">
        <v>10.92</v>
      </c>
      <c r="E35" s="328">
        <v>1903</v>
      </c>
      <c r="F35" s="327">
        <v>842</v>
      </c>
      <c r="G35" s="327">
        <v>4</v>
      </c>
      <c r="H35" s="328">
        <f t="shared" si="6"/>
        <v>2749</v>
      </c>
      <c r="I35" s="327">
        <v>274.89999999999998</v>
      </c>
      <c r="J35" s="329">
        <f t="shared" si="7"/>
        <v>3023.9</v>
      </c>
      <c r="K35" s="328">
        <f t="shared" si="0"/>
        <v>604.78000000000009</v>
      </c>
      <c r="L35" s="330">
        <f t="shared" si="1"/>
        <v>3628.6800000000003</v>
      </c>
      <c r="O35" s="49"/>
    </row>
    <row r="36" spans="1:15" ht="18" customHeight="1">
      <c r="A36" s="168" t="s">
        <v>29</v>
      </c>
      <c r="B36" s="169" t="s">
        <v>143</v>
      </c>
      <c r="C36" s="170" t="s">
        <v>169</v>
      </c>
      <c r="D36" s="327">
        <v>15.36</v>
      </c>
      <c r="E36" s="328">
        <v>2676</v>
      </c>
      <c r="F36" s="327">
        <v>1185</v>
      </c>
      <c r="G36" s="327">
        <v>6</v>
      </c>
      <c r="H36" s="328">
        <f t="shared" si="6"/>
        <v>3867</v>
      </c>
      <c r="I36" s="327">
        <v>386.7</v>
      </c>
      <c r="J36" s="329">
        <f t="shared" si="7"/>
        <v>4253.7</v>
      </c>
      <c r="K36" s="328">
        <f t="shared" si="0"/>
        <v>850.74</v>
      </c>
      <c r="L36" s="330">
        <f t="shared" si="1"/>
        <v>5104.4399999999996</v>
      </c>
      <c r="O36" s="49"/>
    </row>
    <row r="37" spans="1:15" ht="18" customHeight="1">
      <c r="A37" s="168" t="s">
        <v>170</v>
      </c>
      <c r="B37" s="173" t="s">
        <v>171</v>
      </c>
      <c r="C37" s="170" t="s">
        <v>172</v>
      </c>
      <c r="D37" s="327">
        <v>19.149999999999999</v>
      </c>
      <c r="E37" s="328">
        <v>3336</v>
      </c>
      <c r="F37" s="327">
        <v>1478</v>
      </c>
      <c r="G37" s="327">
        <v>7</v>
      </c>
      <c r="H37" s="328">
        <f t="shared" si="6"/>
        <v>4821</v>
      </c>
      <c r="I37" s="327">
        <v>482.1</v>
      </c>
      <c r="J37" s="329">
        <f t="shared" si="7"/>
        <v>5303.1</v>
      </c>
      <c r="K37" s="328">
        <f t="shared" si="0"/>
        <v>1060.6200000000001</v>
      </c>
      <c r="L37" s="330">
        <f t="shared" si="1"/>
        <v>6363.72</v>
      </c>
      <c r="O37" s="49"/>
    </row>
    <row r="38" spans="1:15" ht="18" customHeight="1">
      <c r="A38" s="168" t="s">
        <v>173</v>
      </c>
      <c r="B38" s="173" t="s">
        <v>174</v>
      </c>
      <c r="C38" s="170" t="s">
        <v>175</v>
      </c>
      <c r="D38" s="327">
        <v>23.02</v>
      </c>
      <c r="E38" s="328">
        <v>4011</v>
      </c>
      <c r="F38" s="327">
        <v>1777</v>
      </c>
      <c r="G38" s="327">
        <v>8</v>
      </c>
      <c r="H38" s="328">
        <f t="shared" si="6"/>
        <v>5796</v>
      </c>
      <c r="I38" s="327">
        <v>579.6</v>
      </c>
      <c r="J38" s="329">
        <f t="shared" si="7"/>
        <v>6375.6</v>
      </c>
      <c r="K38" s="328">
        <f t="shared" si="0"/>
        <v>1275.1200000000001</v>
      </c>
      <c r="L38" s="330">
        <f t="shared" si="1"/>
        <v>7650.72</v>
      </c>
      <c r="O38" s="49"/>
    </row>
    <row r="39" spans="1:15" ht="18" customHeight="1">
      <c r="A39" s="168" t="s">
        <v>176</v>
      </c>
      <c r="B39" s="173" t="s">
        <v>177</v>
      </c>
      <c r="C39" s="170" t="s">
        <v>178</v>
      </c>
      <c r="D39" s="327">
        <v>31.58</v>
      </c>
      <c r="E39" s="328">
        <v>5502</v>
      </c>
      <c r="F39" s="327">
        <v>2437</v>
      </c>
      <c r="G39" s="327">
        <v>11</v>
      </c>
      <c r="H39" s="328">
        <f t="shared" si="6"/>
        <v>7950</v>
      </c>
      <c r="I39" s="327">
        <v>795</v>
      </c>
      <c r="J39" s="329">
        <f t="shared" si="7"/>
        <v>8745</v>
      </c>
      <c r="K39" s="328">
        <f t="shared" si="0"/>
        <v>1749</v>
      </c>
      <c r="L39" s="330">
        <f t="shared" si="1"/>
        <v>10494</v>
      </c>
      <c r="O39" s="49"/>
    </row>
    <row r="40" spans="1:15" ht="18" customHeight="1">
      <c r="A40" s="168" t="s">
        <v>179</v>
      </c>
      <c r="B40" s="173" t="s">
        <v>180</v>
      </c>
      <c r="C40" s="170" t="s">
        <v>181</v>
      </c>
      <c r="D40" s="327">
        <v>38.64</v>
      </c>
      <c r="E40" s="328">
        <v>6732</v>
      </c>
      <c r="F40" s="327">
        <v>2981</v>
      </c>
      <c r="G40" s="327">
        <v>14</v>
      </c>
      <c r="H40" s="328">
        <f t="shared" si="6"/>
        <v>9727</v>
      </c>
      <c r="I40" s="327">
        <v>972.7</v>
      </c>
      <c r="J40" s="329">
        <f t="shared" si="7"/>
        <v>10699.7</v>
      </c>
      <c r="K40" s="328">
        <f t="shared" si="0"/>
        <v>2139.94</v>
      </c>
      <c r="L40" s="330">
        <f t="shared" si="1"/>
        <v>12839.640000000001</v>
      </c>
      <c r="O40" s="49"/>
    </row>
    <row r="41" spans="1:15" ht="33" customHeight="1">
      <c r="A41" s="168" t="s">
        <v>182</v>
      </c>
      <c r="B41" s="169" t="s">
        <v>183</v>
      </c>
      <c r="C41" s="170"/>
      <c r="D41" s="327"/>
      <c r="E41" s="327"/>
      <c r="F41" s="327"/>
      <c r="G41" s="327"/>
      <c r="H41" s="328"/>
      <c r="I41" s="327">
        <v>0</v>
      </c>
      <c r="J41" s="329"/>
      <c r="K41" s="328"/>
      <c r="L41" s="330"/>
      <c r="O41" s="49"/>
    </row>
    <row r="42" spans="1:15" ht="18" customHeight="1">
      <c r="A42" s="168" t="s">
        <v>33</v>
      </c>
      <c r="B42" s="169" t="s">
        <v>184</v>
      </c>
      <c r="C42" s="170" t="s">
        <v>185</v>
      </c>
      <c r="D42" s="327">
        <v>3.56</v>
      </c>
      <c r="E42" s="328">
        <v>547</v>
      </c>
      <c r="F42" s="327">
        <v>257</v>
      </c>
      <c r="G42" s="327">
        <v>1</v>
      </c>
      <c r="H42" s="328">
        <f>E42+F42+G42</f>
        <v>805</v>
      </c>
      <c r="I42" s="327">
        <v>80.5</v>
      </c>
      <c r="J42" s="329">
        <f>H42+I42</f>
        <v>885.5</v>
      </c>
      <c r="K42" s="328">
        <f t="shared" si="0"/>
        <v>177.10000000000002</v>
      </c>
      <c r="L42" s="330">
        <f t="shared" si="1"/>
        <v>1062.5999999999999</v>
      </c>
      <c r="O42" s="49"/>
    </row>
    <row r="43" spans="1:15" ht="18" customHeight="1">
      <c r="A43" s="168" t="s">
        <v>35</v>
      </c>
      <c r="B43" s="169" t="s">
        <v>186</v>
      </c>
      <c r="C43" s="170" t="s">
        <v>187</v>
      </c>
      <c r="D43" s="327">
        <v>4.8099999999999996</v>
      </c>
      <c r="E43" s="328">
        <v>739</v>
      </c>
      <c r="F43" s="327">
        <v>348</v>
      </c>
      <c r="G43" s="327">
        <v>2</v>
      </c>
      <c r="H43" s="328">
        <f>E43+F43+G43</f>
        <v>1089</v>
      </c>
      <c r="I43" s="327">
        <v>108.9</v>
      </c>
      <c r="J43" s="329">
        <f>H43+I43</f>
        <v>1197.9000000000001</v>
      </c>
      <c r="K43" s="328">
        <f t="shared" si="0"/>
        <v>239.58000000000004</v>
      </c>
      <c r="L43" s="330">
        <f t="shared" si="1"/>
        <v>1437.48</v>
      </c>
      <c r="O43" s="49"/>
    </row>
    <row r="44" spans="1:15" ht="35.25" customHeight="1">
      <c r="A44" s="168" t="s">
        <v>188</v>
      </c>
      <c r="B44" s="169" t="s">
        <v>189</v>
      </c>
      <c r="C44" s="170"/>
      <c r="D44" s="332"/>
      <c r="E44" s="332"/>
      <c r="F44" s="332"/>
      <c r="G44" s="332"/>
      <c r="H44" s="328"/>
      <c r="I44" s="332"/>
      <c r="J44" s="329"/>
      <c r="K44" s="328"/>
      <c r="L44" s="330"/>
      <c r="O44" s="49"/>
    </row>
    <row r="45" spans="1:15" ht="17.25" customHeight="1">
      <c r="A45" s="168" t="s">
        <v>190</v>
      </c>
      <c r="B45" s="169" t="s">
        <v>191</v>
      </c>
      <c r="C45" s="170" t="s">
        <v>192</v>
      </c>
      <c r="D45" s="327">
        <v>4.25</v>
      </c>
      <c r="E45" s="328">
        <v>740</v>
      </c>
      <c r="F45" s="327">
        <v>327</v>
      </c>
      <c r="G45" s="327">
        <v>2</v>
      </c>
      <c r="H45" s="328">
        <f t="shared" ref="H45:H55" si="8">E45+F45+G45</f>
        <v>1069</v>
      </c>
      <c r="I45" s="327">
        <v>106.9</v>
      </c>
      <c r="J45" s="329">
        <f t="shared" ref="J45:J55" si="9">H45+I45</f>
        <v>1175.9000000000001</v>
      </c>
      <c r="K45" s="328">
        <f t="shared" si="0"/>
        <v>235.18000000000004</v>
      </c>
      <c r="L45" s="330">
        <f t="shared" si="1"/>
        <v>1411.0800000000002</v>
      </c>
      <c r="O45" s="49"/>
    </row>
    <row r="46" spans="1:15" s="60" customFormat="1" ht="17.25" customHeight="1">
      <c r="A46" s="168" t="s">
        <v>193</v>
      </c>
      <c r="B46" s="169" t="s">
        <v>194</v>
      </c>
      <c r="C46" s="170" t="s">
        <v>195</v>
      </c>
      <c r="D46" s="327">
        <v>4.91</v>
      </c>
      <c r="E46" s="328">
        <v>855</v>
      </c>
      <c r="F46" s="327">
        <v>380</v>
      </c>
      <c r="G46" s="327">
        <v>2</v>
      </c>
      <c r="H46" s="328">
        <f t="shared" si="8"/>
        <v>1237</v>
      </c>
      <c r="I46" s="327">
        <v>123.7</v>
      </c>
      <c r="J46" s="329">
        <f t="shared" si="9"/>
        <v>1360.7</v>
      </c>
      <c r="K46" s="328">
        <f t="shared" si="0"/>
        <v>272.14000000000004</v>
      </c>
      <c r="L46" s="330">
        <f t="shared" si="1"/>
        <v>1632.8400000000001</v>
      </c>
      <c r="O46" s="49"/>
    </row>
    <row r="47" spans="1:15" s="61" customFormat="1" ht="17.25" customHeight="1">
      <c r="A47" s="168" t="s">
        <v>196</v>
      </c>
      <c r="B47" s="169" t="s">
        <v>125</v>
      </c>
      <c r="C47" s="170" t="s">
        <v>197</v>
      </c>
      <c r="D47" s="327">
        <v>6.1</v>
      </c>
      <c r="E47" s="328">
        <v>1063</v>
      </c>
      <c r="F47" s="327">
        <v>471</v>
      </c>
      <c r="G47" s="327">
        <v>2</v>
      </c>
      <c r="H47" s="328">
        <f t="shared" si="8"/>
        <v>1536</v>
      </c>
      <c r="I47" s="327">
        <v>153.6</v>
      </c>
      <c r="J47" s="329">
        <f t="shared" si="9"/>
        <v>1689.6</v>
      </c>
      <c r="K47" s="328">
        <f t="shared" si="0"/>
        <v>337.92</v>
      </c>
      <c r="L47" s="330">
        <f t="shared" si="1"/>
        <v>2027.52</v>
      </c>
      <c r="O47" s="49"/>
    </row>
    <row r="48" spans="1:15" s="61" customFormat="1" ht="17.25" customHeight="1">
      <c r="A48" s="168" t="s">
        <v>198</v>
      </c>
      <c r="B48" s="169" t="s">
        <v>137</v>
      </c>
      <c r="C48" s="170" t="s">
        <v>199</v>
      </c>
      <c r="D48" s="327">
        <v>6.48</v>
      </c>
      <c r="E48" s="328">
        <v>1129</v>
      </c>
      <c r="F48" s="327">
        <v>500</v>
      </c>
      <c r="G48" s="327">
        <v>2</v>
      </c>
      <c r="H48" s="328">
        <f t="shared" si="8"/>
        <v>1631</v>
      </c>
      <c r="I48" s="327">
        <v>163.1</v>
      </c>
      <c r="J48" s="329">
        <f t="shared" si="9"/>
        <v>1794.1</v>
      </c>
      <c r="K48" s="328">
        <f t="shared" si="0"/>
        <v>358.82</v>
      </c>
      <c r="L48" s="330">
        <f t="shared" si="1"/>
        <v>2152.92</v>
      </c>
      <c r="O48" s="49"/>
    </row>
    <row r="49" spans="1:15" s="61" customFormat="1" ht="17.25" customHeight="1">
      <c r="A49" s="168" t="s">
        <v>200</v>
      </c>
      <c r="B49" s="169" t="s">
        <v>140</v>
      </c>
      <c r="C49" s="170" t="s">
        <v>201</v>
      </c>
      <c r="D49" s="327">
        <v>7.96</v>
      </c>
      <c r="E49" s="328">
        <v>1387</v>
      </c>
      <c r="F49" s="327">
        <v>615</v>
      </c>
      <c r="G49" s="327">
        <v>3</v>
      </c>
      <c r="H49" s="328">
        <f t="shared" si="8"/>
        <v>2005</v>
      </c>
      <c r="I49" s="327">
        <v>200.5</v>
      </c>
      <c r="J49" s="329">
        <f t="shared" si="9"/>
        <v>2205.5</v>
      </c>
      <c r="K49" s="328">
        <f t="shared" si="0"/>
        <v>441.1</v>
      </c>
      <c r="L49" s="330">
        <f t="shared" si="1"/>
        <v>2646.6</v>
      </c>
      <c r="O49" s="49"/>
    </row>
    <row r="50" spans="1:15" s="62" customFormat="1" ht="17.25" customHeight="1">
      <c r="A50" s="168" t="s">
        <v>202</v>
      </c>
      <c r="B50" s="169" t="s">
        <v>143</v>
      </c>
      <c r="C50" s="170" t="s">
        <v>203</v>
      </c>
      <c r="D50" s="327">
        <v>10.029999999999999</v>
      </c>
      <c r="E50" s="328">
        <v>1748</v>
      </c>
      <c r="F50" s="327">
        <v>775</v>
      </c>
      <c r="G50" s="327">
        <v>4</v>
      </c>
      <c r="H50" s="328">
        <f t="shared" si="8"/>
        <v>2527</v>
      </c>
      <c r="I50" s="327">
        <v>252.7</v>
      </c>
      <c r="J50" s="329">
        <f t="shared" si="9"/>
        <v>2779.7</v>
      </c>
      <c r="K50" s="328">
        <f t="shared" si="0"/>
        <v>555.93999999999994</v>
      </c>
      <c r="L50" s="330">
        <f t="shared" si="1"/>
        <v>3335.64</v>
      </c>
      <c r="O50" s="49"/>
    </row>
    <row r="51" spans="1:15" s="62" customFormat="1" ht="17.25" customHeight="1">
      <c r="A51" s="168" t="s">
        <v>204</v>
      </c>
      <c r="B51" s="169" t="s">
        <v>205</v>
      </c>
      <c r="C51" s="170" t="s">
        <v>206</v>
      </c>
      <c r="D51" s="327">
        <v>11.34</v>
      </c>
      <c r="E51" s="328">
        <v>1976</v>
      </c>
      <c r="F51" s="327">
        <v>875</v>
      </c>
      <c r="G51" s="327">
        <v>4</v>
      </c>
      <c r="H51" s="328">
        <f t="shared" si="8"/>
        <v>2855</v>
      </c>
      <c r="I51" s="327">
        <v>285.5</v>
      </c>
      <c r="J51" s="329">
        <f t="shared" si="9"/>
        <v>3140.5</v>
      </c>
      <c r="K51" s="328">
        <f t="shared" si="0"/>
        <v>628.1</v>
      </c>
      <c r="L51" s="330">
        <f t="shared" si="1"/>
        <v>3768.6</v>
      </c>
      <c r="O51" s="49"/>
    </row>
    <row r="52" spans="1:15" ht="17.25" customHeight="1">
      <c r="A52" s="168" t="s">
        <v>207</v>
      </c>
      <c r="B52" s="169" t="s">
        <v>208</v>
      </c>
      <c r="C52" s="170" t="s">
        <v>209</v>
      </c>
      <c r="D52" s="327">
        <v>12.82</v>
      </c>
      <c r="E52" s="328">
        <v>2234</v>
      </c>
      <c r="F52" s="327">
        <v>989</v>
      </c>
      <c r="G52" s="327">
        <v>5</v>
      </c>
      <c r="H52" s="328">
        <f t="shared" si="8"/>
        <v>3228</v>
      </c>
      <c r="I52" s="327">
        <v>322.8</v>
      </c>
      <c r="J52" s="329">
        <f t="shared" si="9"/>
        <v>3550.8</v>
      </c>
      <c r="K52" s="328">
        <f t="shared" si="0"/>
        <v>710.16000000000008</v>
      </c>
      <c r="L52" s="330">
        <f t="shared" si="1"/>
        <v>4260.96</v>
      </c>
      <c r="O52" s="49"/>
    </row>
    <row r="53" spans="1:15" ht="17.25" customHeight="1">
      <c r="A53" s="168" t="s">
        <v>210</v>
      </c>
      <c r="B53" s="169" t="s">
        <v>211</v>
      </c>
      <c r="C53" s="170" t="s">
        <v>212</v>
      </c>
      <c r="D53" s="327">
        <v>16.53</v>
      </c>
      <c r="E53" s="328">
        <v>2880</v>
      </c>
      <c r="F53" s="327">
        <v>1276</v>
      </c>
      <c r="G53" s="327">
        <v>6</v>
      </c>
      <c r="H53" s="328">
        <f t="shared" si="8"/>
        <v>4162</v>
      </c>
      <c r="I53" s="327">
        <v>416.2</v>
      </c>
      <c r="J53" s="329">
        <f t="shared" si="9"/>
        <v>4578.2</v>
      </c>
      <c r="K53" s="328">
        <f t="shared" si="0"/>
        <v>915.64</v>
      </c>
      <c r="L53" s="330">
        <f t="shared" si="1"/>
        <v>5493.84</v>
      </c>
      <c r="O53" s="49"/>
    </row>
    <row r="54" spans="1:15" ht="17.25" customHeight="1">
      <c r="A54" s="168" t="s">
        <v>213</v>
      </c>
      <c r="B54" s="169" t="s">
        <v>214</v>
      </c>
      <c r="C54" s="170" t="s">
        <v>215</v>
      </c>
      <c r="D54" s="327">
        <v>17.47</v>
      </c>
      <c r="E54" s="328">
        <v>3044</v>
      </c>
      <c r="F54" s="327">
        <v>1348</v>
      </c>
      <c r="G54" s="327">
        <v>6</v>
      </c>
      <c r="H54" s="328">
        <f t="shared" si="8"/>
        <v>4398</v>
      </c>
      <c r="I54" s="327">
        <v>439.8</v>
      </c>
      <c r="J54" s="329">
        <f t="shared" si="9"/>
        <v>4837.8</v>
      </c>
      <c r="K54" s="328">
        <f t="shared" si="0"/>
        <v>967.56000000000006</v>
      </c>
      <c r="L54" s="330">
        <f t="shared" si="1"/>
        <v>5805.3600000000006</v>
      </c>
      <c r="O54" s="49"/>
    </row>
    <row r="55" spans="1:15" ht="17.25" customHeight="1">
      <c r="A55" s="168" t="s">
        <v>216</v>
      </c>
      <c r="B55" s="169" t="s">
        <v>217</v>
      </c>
      <c r="C55" s="170" t="s">
        <v>218</v>
      </c>
      <c r="D55" s="327">
        <v>18.649999999999999</v>
      </c>
      <c r="E55" s="328">
        <v>3249</v>
      </c>
      <c r="F55" s="327">
        <v>1440</v>
      </c>
      <c r="G55" s="327">
        <v>7</v>
      </c>
      <c r="H55" s="328">
        <f t="shared" si="8"/>
        <v>4696</v>
      </c>
      <c r="I55" s="327">
        <v>469.6</v>
      </c>
      <c r="J55" s="329">
        <f t="shared" si="9"/>
        <v>5165.6000000000004</v>
      </c>
      <c r="K55" s="328">
        <f t="shared" si="0"/>
        <v>1033.1200000000001</v>
      </c>
      <c r="L55" s="330">
        <f t="shared" si="1"/>
        <v>6198.72</v>
      </c>
      <c r="O55" s="49"/>
    </row>
    <row r="56" spans="1:15" ht="19.5" customHeight="1">
      <c r="A56" s="168" t="s">
        <v>219</v>
      </c>
      <c r="B56" s="169" t="s">
        <v>220</v>
      </c>
      <c r="C56" s="170"/>
      <c r="D56" s="327"/>
      <c r="E56" s="327"/>
      <c r="F56" s="327"/>
      <c r="G56" s="327"/>
      <c r="H56" s="328"/>
      <c r="I56" s="327">
        <v>0</v>
      </c>
      <c r="J56" s="329"/>
      <c r="K56" s="328"/>
      <c r="L56" s="330"/>
      <c r="O56" s="49"/>
    </row>
    <row r="57" spans="1:15" ht="17.25" customHeight="1">
      <c r="A57" s="168" t="s">
        <v>43</v>
      </c>
      <c r="B57" s="169" t="s">
        <v>191</v>
      </c>
      <c r="C57" s="170" t="s">
        <v>221</v>
      </c>
      <c r="D57" s="327">
        <v>2.69</v>
      </c>
      <c r="E57" s="328">
        <v>384</v>
      </c>
      <c r="F57" s="327">
        <v>189</v>
      </c>
      <c r="G57" s="327">
        <v>1</v>
      </c>
      <c r="H57" s="328">
        <f>E57+F57+G57</f>
        <v>574</v>
      </c>
      <c r="I57" s="327">
        <v>57.4</v>
      </c>
      <c r="J57" s="329">
        <f>H57+I57</f>
        <v>631.4</v>
      </c>
      <c r="K57" s="328">
        <f t="shared" si="0"/>
        <v>126.28</v>
      </c>
      <c r="L57" s="330">
        <f t="shared" si="1"/>
        <v>757.68</v>
      </c>
      <c r="O57" s="49"/>
    </row>
    <row r="58" spans="1:15" ht="17.25" customHeight="1">
      <c r="A58" s="168" t="s">
        <v>45</v>
      </c>
      <c r="B58" s="169" t="s">
        <v>107</v>
      </c>
      <c r="C58" s="170" t="s">
        <v>222</v>
      </c>
      <c r="D58" s="327">
        <v>4.83</v>
      </c>
      <c r="E58" s="328">
        <v>689</v>
      </c>
      <c r="F58" s="327">
        <v>336</v>
      </c>
      <c r="G58" s="327">
        <v>2</v>
      </c>
      <c r="H58" s="328">
        <f>E58+F58+G58</f>
        <v>1027</v>
      </c>
      <c r="I58" s="327">
        <v>102.7</v>
      </c>
      <c r="J58" s="329">
        <f>H58+I58</f>
        <v>1129.7</v>
      </c>
      <c r="K58" s="328">
        <f t="shared" si="0"/>
        <v>225.94000000000003</v>
      </c>
      <c r="L58" s="330">
        <f t="shared" si="1"/>
        <v>1355.64</v>
      </c>
      <c r="O58" s="49"/>
    </row>
    <row r="59" spans="1:15" ht="18.75" customHeight="1">
      <c r="A59" s="168" t="s">
        <v>223</v>
      </c>
      <c r="B59" s="169" t="s">
        <v>224</v>
      </c>
      <c r="C59" s="170" t="s">
        <v>225</v>
      </c>
      <c r="D59" s="327">
        <v>1.04</v>
      </c>
      <c r="E59" s="328">
        <v>148</v>
      </c>
      <c r="F59" s="327">
        <v>72</v>
      </c>
      <c r="G59" s="327"/>
      <c r="H59" s="328">
        <f>E59+F59+G59</f>
        <v>220</v>
      </c>
      <c r="I59" s="327">
        <v>22</v>
      </c>
      <c r="J59" s="329">
        <f>H59+I59</f>
        <v>242</v>
      </c>
      <c r="K59" s="328">
        <f t="shared" si="0"/>
        <v>48.400000000000006</v>
      </c>
      <c r="L59" s="330">
        <f t="shared" si="1"/>
        <v>290.39999999999998</v>
      </c>
      <c r="O59" s="49"/>
    </row>
    <row r="60" spans="1:15" ht="20.25" customHeight="1" thickBot="1">
      <c r="A60" s="174" t="s">
        <v>49</v>
      </c>
      <c r="B60" s="175" t="s">
        <v>226</v>
      </c>
      <c r="C60" s="176" t="s">
        <v>227</v>
      </c>
      <c r="D60" s="338">
        <v>1.8</v>
      </c>
      <c r="E60" s="339">
        <v>257</v>
      </c>
      <c r="F60" s="338">
        <v>126</v>
      </c>
      <c r="G60" s="338">
        <v>1</v>
      </c>
      <c r="H60" s="339">
        <f>E60+F60+G60</f>
        <v>384</v>
      </c>
      <c r="I60" s="338">
        <v>38.4</v>
      </c>
      <c r="J60" s="340">
        <f>H60+I60</f>
        <v>422.4</v>
      </c>
      <c r="K60" s="339">
        <f t="shared" si="0"/>
        <v>84.48</v>
      </c>
      <c r="L60" s="341">
        <f t="shared" si="1"/>
        <v>506.88</v>
      </c>
      <c r="O60" s="49"/>
    </row>
    <row r="61" spans="1:15">
      <c r="A61" s="121"/>
      <c r="B61" s="122"/>
      <c r="C61" s="123"/>
      <c r="D61" s="122"/>
      <c r="E61" s="122"/>
      <c r="F61" s="122"/>
      <c r="G61" s="122"/>
      <c r="H61" s="304"/>
      <c r="I61" s="122"/>
      <c r="J61" s="304"/>
      <c r="K61" s="304"/>
      <c r="L61" s="304"/>
      <c r="O61" s="49"/>
    </row>
    <row r="62" spans="1:15" s="337" customFormat="1" ht="13.15">
      <c r="A62" s="378" t="s">
        <v>228</v>
      </c>
      <c r="B62" s="379"/>
      <c r="C62" s="380"/>
      <c r="D62" s="379"/>
      <c r="E62" s="379"/>
      <c r="F62" s="379"/>
      <c r="G62" s="379"/>
      <c r="H62" s="381"/>
      <c r="I62" s="379"/>
      <c r="J62" s="381"/>
      <c r="K62" s="381"/>
      <c r="L62" s="381"/>
      <c r="O62" s="382"/>
    </row>
    <row r="63" spans="1:15" s="337" customFormat="1" ht="13.15">
      <c r="A63" s="378" t="s">
        <v>229</v>
      </c>
      <c r="B63" s="379"/>
      <c r="C63" s="380"/>
      <c r="D63" s="379"/>
      <c r="E63" s="379"/>
      <c r="F63" s="379"/>
      <c r="G63" s="379"/>
      <c r="H63" s="381"/>
      <c r="I63" s="379"/>
      <c r="J63" s="381"/>
      <c r="K63" s="381"/>
      <c r="L63" s="381"/>
      <c r="O63" s="382"/>
    </row>
    <row r="64" spans="1:15" s="337" customFormat="1" ht="13.15">
      <c r="A64" s="378"/>
      <c r="B64" s="379"/>
      <c r="C64" s="380"/>
      <c r="D64" s="379"/>
      <c r="E64" s="379"/>
      <c r="F64" s="379"/>
      <c r="G64" s="379"/>
      <c r="H64" s="381"/>
      <c r="I64" s="379"/>
      <c r="J64" s="381"/>
      <c r="K64" s="381"/>
      <c r="L64" s="381"/>
      <c r="O64" s="382"/>
    </row>
  </sheetData>
  <mergeCells count="3">
    <mergeCell ref="A2:L2"/>
    <mergeCell ref="A4:B4"/>
    <mergeCell ref="A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zoomScale="90" zoomScaleNormal="90" workbookViewId="0">
      <selection activeCell="I20" sqref="I20"/>
    </sheetView>
  </sheetViews>
  <sheetFormatPr defaultColWidth="9.140625" defaultRowHeight="15.6"/>
  <cols>
    <col min="1" max="1" width="4.85546875" style="446" customWidth="1"/>
    <col min="2" max="2" width="42.5703125" style="447" customWidth="1"/>
    <col min="3" max="3" width="19.42578125" style="447" customWidth="1"/>
    <col min="4" max="4" width="17.7109375" style="447" customWidth="1"/>
    <col min="5" max="5" width="13.5703125" style="3" customWidth="1"/>
    <col min="6" max="6" width="10.5703125" style="448" customWidth="1"/>
    <col min="7" max="7" width="13.140625" style="4" customWidth="1"/>
    <col min="8" max="8" width="14.85546875" style="4" customWidth="1"/>
    <col min="9" max="9" width="11.140625" style="4" customWidth="1"/>
    <col min="10" max="10" width="15.5703125" style="4" customWidth="1"/>
    <col min="11" max="11" width="19.28515625" style="4" customWidth="1"/>
    <col min="12" max="12" width="19.7109375" style="4" customWidth="1"/>
    <col min="13" max="13" width="17.7109375" style="4" customWidth="1"/>
    <col min="14" max="14" width="17.5703125" style="4" customWidth="1"/>
    <col min="15" max="16384" width="9.140625" style="9"/>
  </cols>
  <sheetData>
    <row r="1" spans="1:14" s="22" customFormat="1">
      <c r="A1" s="385"/>
      <c r="B1" s="136"/>
      <c r="C1" s="136"/>
      <c r="D1" s="386"/>
      <c r="E1" s="386"/>
      <c r="F1" s="387"/>
      <c r="G1" s="386"/>
      <c r="H1" s="141"/>
      <c r="I1" s="141"/>
      <c r="J1" s="141"/>
      <c r="K1" s="136"/>
      <c r="L1" s="136"/>
      <c r="M1" s="136"/>
      <c r="N1" s="136"/>
    </row>
    <row r="2" spans="1:14" s="22" customFormat="1" ht="21">
      <c r="A2" s="675" t="s">
        <v>230</v>
      </c>
      <c r="B2" s="675"/>
      <c r="C2" s="675"/>
      <c r="D2" s="675"/>
      <c r="E2" s="675"/>
      <c r="F2" s="675"/>
      <c r="G2" s="675"/>
      <c r="H2" s="675"/>
      <c r="I2" s="675"/>
      <c r="J2" s="675"/>
      <c r="K2" s="675"/>
      <c r="L2" s="675"/>
      <c r="M2" s="675"/>
      <c r="N2" s="675"/>
    </row>
    <row r="3" spans="1:14" s="22" customFormat="1" ht="17.45">
      <c r="A3" s="676" t="s">
        <v>231</v>
      </c>
      <c r="B3" s="676"/>
      <c r="C3" s="676"/>
      <c r="D3" s="676"/>
      <c r="E3" s="676"/>
      <c r="F3" s="676"/>
      <c r="G3" s="676"/>
      <c r="H3" s="676"/>
      <c r="I3" s="676"/>
      <c r="J3" s="676"/>
      <c r="K3" s="676"/>
      <c r="L3" s="676"/>
      <c r="M3" s="676"/>
      <c r="N3" s="676"/>
    </row>
    <row r="4" spans="1:14" s="22" customFormat="1" ht="17.45">
      <c r="A4" s="127"/>
      <c r="B4" s="389"/>
      <c r="C4" s="389"/>
      <c r="D4" s="389"/>
      <c r="E4" s="389"/>
      <c r="F4" s="390"/>
      <c r="G4" s="389"/>
      <c r="H4" s="389"/>
      <c r="I4" s="389"/>
      <c r="J4" s="389"/>
      <c r="K4" s="389"/>
      <c r="L4" s="389"/>
      <c r="M4" s="389"/>
      <c r="N4" s="389"/>
    </row>
    <row r="5" spans="1:14" s="22" customFormat="1" ht="16.149999999999999" thickBot="1">
      <c r="A5" s="391" t="str">
        <f>'[1]МР1 ТУ'!A11</f>
        <v>Вводиться в дію з "01" жовтня 2023р.</v>
      </c>
      <c r="B5" s="392"/>
      <c r="C5" s="392"/>
      <c r="D5" s="392"/>
      <c r="E5" s="143"/>
      <c r="F5" s="393"/>
      <c r="G5" s="141"/>
      <c r="H5" s="141"/>
      <c r="I5" s="141"/>
      <c r="J5" s="141"/>
      <c r="K5" s="141"/>
      <c r="L5" s="141"/>
      <c r="M5" s="141"/>
      <c r="N5" s="141"/>
    </row>
    <row r="6" spans="1:14" s="399" customFormat="1" ht="45.6" thickBot="1">
      <c r="A6" s="394" t="s">
        <v>82</v>
      </c>
      <c r="B6" s="395" t="s">
        <v>83</v>
      </c>
      <c r="C6" s="395" t="s">
        <v>84</v>
      </c>
      <c r="D6" s="395" t="s">
        <v>232</v>
      </c>
      <c r="E6" s="396" t="s">
        <v>233</v>
      </c>
      <c r="F6" s="397" t="s">
        <v>234</v>
      </c>
      <c r="G6" s="396" t="s">
        <v>235</v>
      </c>
      <c r="H6" s="396" t="s">
        <v>236</v>
      </c>
      <c r="I6" s="396" t="s">
        <v>237</v>
      </c>
      <c r="J6" s="396" t="s">
        <v>238</v>
      </c>
      <c r="K6" s="396" t="s">
        <v>90</v>
      </c>
      <c r="L6" s="396" t="s">
        <v>91</v>
      </c>
      <c r="M6" s="396" t="s">
        <v>92</v>
      </c>
      <c r="N6" s="398" t="s">
        <v>239</v>
      </c>
    </row>
    <row r="7" spans="1:14" s="407" customFormat="1" ht="16.149999999999999" hidden="1" thickBot="1">
      <c r="A7" s="400"/>
      <c r="B7" s="401"/>
      <c r="C7" s="401" t="s">
        <v>240</v>
      </c>
      <c r="D7" s="402"/>
      <c r="E7" s="402"/>
      <c r="F7" s="403"/>
      <c r="G7" s="402"/>
      <c r="H7" s="402" t="str">
        <f>CONCATENATE([1]Налаштування!B4,"%")</f>
        <v>22%</v>
      </c>
      <c r="I7" s="404">
        <f>[1]Налаштування!B5/100</f>
        <v>0.53159999999999996</v>
      </c>
      <c r="J7" s="405"/>
      <c r="K7" s="402" t="str">
        <f>CONCATENATE([1]Налаштування!B8,"%")</f>
        <v>10%</v>
      </c>
      <c r="L7" s="402"/>
      <c r="M7" s="402" t="str">
        <f>CONCATENATE([1]Налаштування!B13,"%")</f>
        <v>20%</v>
      </c>
      <c r="N7" s="406"/>
    </row>
    <row r="8" spans="1:14" ht="75">
      <c r="A8" s="408">
        <v>1</v>
      </c>
      <c r="B8" s="409" t="s">
        <v>241</v>
      </c>
      <c r="C8" s="410" t="s">
        <v>96</v>
      </c>
      <c r="D8" s="411" t="s">
        <v>242</v>
      </c>
      <c r="E8" s="412">
        <f>1.26*0.95</f>
        <v>1.1969999999999998</v>
      </c>
      <c r="F8" s="413">
        <f>[1]ЧТС!$L$31</f>
        <v>73.2</v>
      </c>
      <c r="G8" s="414">
        <f>E8*F8</f>
        <v>87.620399999999989</v>
      </c>
      <c r="H8" s="415">
        <f>ROUND(G8*$H$7,2)</f>
        <v>19.28</v>
      </c>
      <c r="I8" s="415">
        <f>ROUND(G8*$I$7,2)</f>
        <v>46.58</v>
      </c>
      <c r="J8" s="415">
        <f>G8+H8+I8</f>
        <v>153.48039999999997</v>
      </c>
      <c r="K8" s="416">
        <f t="shared" ref="K8:K15" si="0">ROUND(J8*$K$7,2)</f>
        <v>15.35</v>
      </c>
      <c r="L8" s="417">
        <f>J8+K8</f>
        <v>168.83039999999997</v>
      </c>
      <c r="M8" s="415">
        <f>ROUND(L8*0.2,2)</f>
        <v>33.770000000000003</v>
      </c>
      <c r="N8" s="418">
        <f>M8+L8</f>
        <v>202.60039999999998</v>
      </c>
    </row>
    <row r="9" spans="1:14" ht="17.45">
      <c r="A9" s="419">
        <f>A8+1</f>
        <v>2</v>
      </c>
      <c r="B9" s="420" t="s">
        <v>243</v>
      </c>
      <c r="C9" s="421" t="s">
        <v>244</v>
      </c>
      <c r="D9" s="421" t="s">
        <v>244</v>
      </c>
      <c r="E9" s="422">
        <f>2.16*0.95</f>
        <v>2.052</v>
      </c>
      <c r="F9" s="423">
        <f>[1]ЧТС!$L$31</f>
        <v>73.2</v>
      </c>
      <c r="G9" s="424">
        <f t="shared" ref="G9:G15" si="1">E9*F9</f>
        <v>150.2064</v>
      </c>
      <c r="H9" s="425">
        <f t="shared" ref="H9:H15" si="2">ROUND(G9*$H$7,2)</f>
        <v>33.049999999999997</v>
      </c>
      <c r="I9" s="425">
        <f t="shared" ref="I9:I15" si="3">ROUND(G9*$I$7,2)</f>
        <v>79.849999999999994</v>
      </c>
      <c r="J9" s="425">
        <f t="shared" ref="J9:J15" si="4">G9+H9+I9</f>
        <v>263.10640000000001</v>
      </c>
      <c r="K9" s="426">
        <f t="shared" si="0"/>
        <v>26.31</v>
      </c>
      <c r="L9" s="427">
        <f>J9+K9</f>
        <v>289.41640000000001</v>
      </c>
      <c r="M9" s="425">
        <f>ROUND(L9*0.2,2)</f>
        <v>57.88</v>
      </c>
      <c r="N9" s="428">
        <f t="shared" ref="N9:N15" si="5">M9+L9</f>
        <v>347.29640000000001</v>
      </c>
    </row>
    <row r="10" spans="1:14" ht="17.45">
      <c r="A10" s="419">
        <f t="shared" ref="A10:A15" si="6">A9+1</f>
        <v>3</v>
      </c>
      <c r="B10" s="420" t="s">
        <v>245</v>
      </c>
      <c r="C10" s="421" t="s">
        <v>244</v>
      </c>
      <c r="D10" s="421" t="s">
        <v>244</v>
      </c>
      <c r="E10" s="422">
        <f>3.06*0.95</f>
        <v>2.907</v>
      </c>
      <c r="F10" s="423">
        <f>[1]ЧТС!$L$31</f>
        <v>73.2</v>
      </c>
      <c r="G10" s="424">
        <f t="shared" si="1"/>
        <v>212.79240000000001</v>
      </c>
      <c r="H10" s="425">
        <f t="shared" si="2"/>
        <v>46.81</v>
      </c>
      <c r="I10" s="425">
        <f t="shared" si="3"/>
        <v>113.12</v>
      </c>
      <c r="J10" s="425">
        <f t="shared" si="4"/>
        <v>372.72239999999999</v>
      </c>
      <c r="K10" s="426">
        <f t="shared" si="0"/>
        <v>37.270000000000003</v>
      </c>
      <c r="L10" s="427">
        <f>J10+K10</f>
        <v>409.99239999999998</v>
      </c>
      <c r="M10" s="425">
        <f>ROUND(L10*0.2,2)</f>
        <v>82</v>
      </c>
      <c r="N10" s="428">
        <f t="shared" si="5"/>
        <v>491.99239999999998</v>
      </c>
    </row>
    <row r="11" spans="1:14" ht="17.45">
      <c r="A11" s="419">
        <f t="shared" si="6"/>
        <v>4</v>
      </c>
      <c r="B11" s="420" t="s">
        <v>246</v>
      </c>
      <c r="C11" s="421" t="s">
        <v>244</v>
      </c>
      <c r="D11" s="421" t="s">
        <v>244</v>
      </c>
      <c r="E11" s="422">
        <f>3.96*0.95</f>
        <v>3.762</v>
      </c>
      <c r="F11" s="423">
        <f>[1]ЧТС!$L$31</f>
        <v>73.2</v>
      </c>
      <c r="G11" s="424">
        <f t="shared" si="1"/>
        <v>275.3784</v>
      </c>
      <c r="H11" s="425">
        <f t="shared" si="2"/>
        <v>60.58</v>
      </c>
      <c r="I11" s="425">
        <f t="shared" si="3"/>
        <v>146.38999999999999</v>
      </c>
      <c r="J11" s="425">
        <f t="shared" si="4"/>
        <v>482.34839999999997</v>
      </c>
      <c r="K11" s="426">
        <f t="shared" si="0"/>
        <v>48.23</v>
      </c>
      <c r="L11" s="427">
        <f>J11+K11</f>
        <v>530.57839999999999</v>
      </c>
      <c r="M11" s="425">
        <f>ROUND(L11*0.2,2)</f>
        <v>106.12</v>
      </c>
      <c r="N11" s="428">
        <f t="shared" si="5"/>
        <v>636.69839999999999</v>
      </c>
    </row>
    <row r="12" spans="1:14" ht="75">
      <c r="A12" s="419">
        <f t="shared" si="6"/>
        <v>5</v>
      </c>
      <c r="B12" s="420" t="s">
        <v>247</v>
      </c>
      <c r="C12" s="421" t="s">
        <v>244</v>
      </c>
      <c r="D12" s="429" t="s">
        <v>248</v>
      </c>
      <c r="E12" s="422">
        <f>0.8*0.95</f>
        <v>0.76</v>
      </c>
      <c r="F12" s="423">
        <f>[1]ЧТС!$L$31</f>
        <v>73.2</v>
      </c>
      <c r="G12" s="424">
        <f t="shared" si="1"/>
        <v>55.632000000000005</v>
      </c>
      <c r="H12" s="425">
        <f t="shared" si="2"/>
        <v>12.24</v>
      </c>
      <c r="I12" s="425">
        <f t="shared" si="3"/>
        <v>29.57</v>
      </c>
      <c r="J12" s="425">
        <f t="shared" si="4"/>
        <v>97.442000000000007</v>
      </c>
      <c r="K12" s="426">
        <f t="shared" si="0"/>
        <v>9.74</v>
      </c>
      <c r="L12" s="427">
        <f t="shared" ref="L12:L14" si="7">J12+K12</f>
        <v>107.182</v>
      </c>
      <c r="M12" s="425">
        <f t="shared" ref="M12:M14" si="8">ROUND(L12*0.2,2)</f>
        <v>21.44</v>
      </c>
      <c r="N12" s="428">
        <f t="shared" si="5"/>
        <v>128.62200000000001</v>
      </c>
    </row>
    <row r="13" spans="1:14" ht="17.45">
      <c r="A13" s="419">
        <f t="shared" si="6"/>
        <v>6</v>
      </c>
      <c r="B13" s="420" t="s">
        <v>249</v>
      </c>
      <c r="C13" s="421" t="s">
        <v>244</v>
      </c>
      <c r="D13" s="421" t="s">
        <v>244</v>
      </c>
      <c r="E13" s="422">
        <f>0.26*0.95</f>
        <v>0.247</v>
      </c>
      <c r="F13" s="423">
        <f>[1]ЧТС!$L$31</f>
        <v>73.2</v>
      </c>
      <c r="G13" s="424">
        <f t="shared" si="1"/>
        <v>18.080400000000001</v>
      </c>
      <c r="H13" s="425">
        <f t="shared" si="2"/>
        <v>3.98</v>
      </c>
      <c r="I13" s="425">
        <f t="shared" si="3"/>
        <v>9.61</v>
      </c>
      <c r="J13" s="425">
        <f t="shared" si="4"/>
        <v>31.670400000000001</v>
      </c>
      <c r="K13" s="426">
        <f t="shared" si="0"/>
        <v>3.17</v>
      </c>
      <c r="L13" s="427">
        <f t="shared" si="7"/>
        <v>34.840400000000002</v>
      </c>
      <c r="M13" s="425">
        <f t="shared" si="8"/>
        <v>6.97</v>
      </c>
      <c r="N13" s="428">
        <f t="shared" si="5"/>
        <v>41.810400000000001</v>
      </c>
    </row>
    <row r="14" spans="1:14" ht="30">
      <c r="A14" s="419">
        <f t="shared" si="6"/>
        <v>7</v>
      </c>
      <c r="B14" s="420" t="s">
        <v>250</v>
      </c>
      <c r="C14" s="421" t="s">
        <v>244</v>
      </c>
      <c r="D14" s="421" t="s">
        <v>244</v>
      </c>
      <c r="E14" s="422">
        <f>0.95*0.95</f>
        <v>0.90249999999999997</v>
      </c>
      <c r="F14" s="423">
        <f>[1]ЧТС!$L$31</f>
        <v>73.2</v>
      </c>
      <c r="G14" s="424">
        <f t="shared" si="1"/>
        <v>66.063000000000002</v>
      </c>
      <c r="H14" s="425">
        <f t="shared" si="2"/>
        <v>14.53</v>
      </c>
      <c r="I14" s="425">
        <f t="shared" si="3"/>
        <v>35.119999999999997</v>
      </c>
      <c r="J14" s="425">
        <f t="shared" si="4"/>
        <v>115.71299999999999</v>
      </c>
      <c r="K14" s="426">
        <f t="shared" si="0"/>
        <v>11.57</v>
      </c>
      <c r="L14" s="427">
        <f t="shared" si="7"/>
        <v>127.28299999999999</v>
      </c>
      <c r="M14" s="425">
        <f t="shared" si="8"/>
        <v>25.46</v>
      </c>
      <c r="N14" s="428">
        <f t="shared" si="5"/>
        <v>152.74299999999999</v>
      </c>
    </row>
    <row r="15" spans="1:14" ht="18" thickBot="1">
      <c r="A15" s="430">
        <f t="shared" si="6"/>
        <v>8</v>
      </c>
      <c r="B15" s="431" t="s">
        <v>249</v>
      </c>
      <c r="C15" s="432" t="s">
        <v>244</v>
      </c>
      <c r="D15" s="433" t="s">
        <v>244</v>
      </c>
      <c r="E15" s="434">
        <f>0.3*0.95</f>
        <v>0.28499999999999998</v>
      </c>
      <c r="F15" s="435">
        <f>[1]ЧТС!$L$31</f>
        <v>73.2</v>
      </c>
      <c r="G15" s="436">
        <f t="shared" si="1"/>
        <v>20.861999999999998</v>
      </c>
      <c r="H15" s="437">
        <f t="shared" si="2"/>
        <v>4.59</v>
      </c>
      <c r="I15" s="437">
        <f t="shared" si="3"/>
        <v>11.09</v>
      </c>
      <c r="J15" s="437">
        <f t="shared" si="4"/>
        <v>36.542000000000002</v>
      </c>
      <c r="K15" s="438">
        <f t="shared" si="0"/>
        <v>3.65</v>
      </c>
      <c r="L15" s="439">
        <f>J15+K15</f>
        <v>40.192</v>
      </c>
      <c r="M15" s="437">
        <f>ROUND(L15*0.2,2)</f>
        <v>8.0399999999999991</v>
      </c>
      <c r="N15" s="440">
        <f t="shared" si="5"/>
        <v>48.231999999999999</v>
      </c>
    </row>
    <row r="16" spans="1:14">
      <c r="A16" s="383"/>
      <c r="B16" s="441"/>
      <c r="C16" s="441"/>
      <c r="D16" s="441"/>
      <c r="E16" s="441"/>
      <c r="F16" s="442"/>
      <c r="G16" s="441"/>
      <c r="H16" s="441"/>
      <c r="I16" s="441"/>
      <c r="J16" s="441"/>
      <c r="K16" s="188"/>
      <c r="L16" s="188"/>
      <c r="M16" s="188"/>
      <c r="N16" s="188"/>
    </row>
    <row r="17" spans="1:14">
      <c r="A17" s="383"/>
      <c r="B17" s="196"/>
      <c r="C17" s="196"/>
      <c r="D17" s="443"/>
      <c r="E17" s="196"/>
      <c r="F17" s="346"/>
      <c r="G17" s="188"/>
      <c r="H17" s="188"/>
      <c r="I17" s="188"/>
      <c r="J17" s="188"/>
      <c r="K17" s="188"/>
      <c r="L17" s="188"/>
      <c r="M17" s="188"/>
      <c r="N17" s="188"/>
    </row>
  </sheetData>
  <mergeCells count="2">
    <mergeCell ref="A2:N2"/>
    <mergeCell ref="A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
  <sheetViews>
    <sheetView zoomScale="80" zoomScaleNormal="80" workbookViewId="0">
      <selection activeCell="G45" sqref="G44:H45"/>
    </sheetView>
  </sheetViews>
  <sheetFormatPr defaultRowHeight="15"/>
  <cols>
    <col min="1" max="1" width="5.28515625" style="493" customWidth="1"/>
    <col min="2" max="2" width="42.5703125" style="85" customWidth="1"/>
    <col min="3" max="3" width="21.85546875" style="85" customWidth="1"/>
    <col min="4" max="4" width="16.85546875" style="85" customWidth="1"/>
    <col min="5" max="5" width="14.140625" style="87" customWidth="1"/>
    <col min="6" max="6" width="12.42578125" style="349" customWidth="1"/>
    <col min="7" max="7" width="13" style="48" customWidth="1"/>
    <col min="8" max="8" width="15.28515625" style="48" customWidth="1"/>
    <col min="9" max="9" width="13.42578125" style="48" customWidth="1"/>
    <col min="10" max="10" width="14.85546875" style="48" customWidth="1"/>
    <col min="11" max="11" width="18.85546875" style="48" customWidth="1"/>
    <col min="12" max="12" width="19.28515625" style="48" customWidth="1"/>
    <col min="13" max="13" width="15.7109375" style="48" customWidth="1"/>
    <col min="14" max="14" width="19.140625" style="48" customWidth="1"/>
  </cols>
  <sheetData>
    <row r="1" spans="1:14" s="11" customFormat="1" ht="22.9">
      <c r="A1" s="678" t="s">
        <v>251</v>
      </c>
      <c r="B1" s="678"/>
      <c r="C1" s="678"/>
      <c r="D1" s="678"/>
      <c r="E1" s="678"/>
      <c r="F1" s="678"/>
      <c r="G1" s="678"/>
      <c r="H1" s="678"/>
      <c r="I1" s="678"/>
      <c r="J1" s="678"/>
      <c r="K1" s="678"/>
      <c r="L1" s="678"/>
      <c r="M1" s="678"/>
      <c r="N1" s="678"/>
    </row>
    <row r="2" spans="1:14" s="11" customFormat="1" ht="21">
      <c r="A2" s="679" t="s">
        <v>252</v>
      </c>
      <c r="B2" s="679"/>
      <c r="C2" s="679"/>
      <c r="D2" s="679"/>
      <c r="E2" s="679"/>
      <c r="F2" s="679"/>
      <c r="G2" s="679"/>
      <c r="H2" s="679"/>
      <c r="I2" s="679"/>
      <c r="J2" s="679"/>
      <c r="K2" s="679"/>
      <c r="L2" s="679"/>
      <c r="M2" s="679"/>
      <c r="N2" s="679"/>
    </row>
    <row r="3" spans="1:14" s="11" customFormat="1" ht="17.45">
      <c r="A3" s="127"/>
      <c r="B3" s="389"/>
      <c r="C3" s="389"/>
      <c r="D3" s="389"/>
      <c r="E3" s="389"/>
      <c r="F3" s="390"/>
      <c r="G3" s="389"/>
      <c r="H3" s="389"/>
      <c r="I3" s="389"/>
      <c r="J3" s="389"/>
      <c r="K3" s="389"/>
      <c r="L3" s="389"/>
      <c r="M3" s="389"/>
      <c r="N3" s="389"/>
    </row>
    <row r="4" spans="1:14" s="11" customFormat="1" ht="13.9" thickBot="1">
      <c r="A4" s="391" t="str">
        <f>'[1]МР1 ТУ'!A11</f>
        <v>Вводиться в дію з "01" жовтня 2023р.</v>
      </c>
      <c r="B4" s="454"/>
      <c r="C4" s="454"/>
      <c r="D4" s="454"/>
      <c r="E4" s="455"/>
      <c r="F4" s="456"/>
      <c r="G4" s="455"/>
      <c r="H4" s="455"/>
      <c r="I4" s="457"/>
      <c r="J4" s="457"/>
      <c r="K4" s="457"/>
      <c r="L4" s="457"/>
      <c r="M4" s="457"/>
      <c r="N4" s="457"/>
    </row>
    <row r="5" spans="1:14" s="458" customFormat="1" ht="45.6" thickBot="1">
      <c r="A5" s="394" t="s">
        <v>82</v>
      </c>
      <c r="B5" s="395" t="s">
        <v>83</v>
      </c>
      <c r="C5" s="395" t="s">
        <v>84</v>
      </c>
      <c r="D5" s="395" t="s">
        <v>232</v>
      </c>
      <c r="E5" s="396" t="s">
        <v>233</v>
      </c>
      <c r="F5" s="397" t="s">
        <v>234</v>
      </c>
      <c r="G5" s="396" t="s">
        <v>235</v>
      </c>
      <c r="H5" s="396" t="s">
        <v>236</v>
      </c>
      <c r="I5" s="396" t="s">
        <v>237</v>
      </c>
      <c r="J5" s="396" t="s">
        <v>238</v>
      </c>
      <c r="K5" s="396" t="s">
        <v>90</v>
      </c>
      <c r="L5" s="396" t="s">
        <v>253</v>
      </c>
      <c r="M5" s="396" t="s">
        <v>92</v>
      </c>
      <c r="N5" s="398" t="s">
        <v>93</v>
      </c>
    </row>
    <row r="6" spans="1:14" s="458" customFormat="1" ht="16.149999999999999" hidden="1" thickBot="1">
      <c r="A6" s="459"/>
      <c r="B6" s="460"/>
      <c r="C6" s="276" t="s">
        <v>254</v>
      </c>
      <c r="D6" s="461"/>
      <c r="E6" s="321">
        <v>1.1599999999999999</v>
      </c>
      <c r="F6" s="462"/>
      <c r="G6" s="463"/>
      <c r="H6" s="464" t="str">
        <f>CONCATENATE([1]Налаштування!B4,"%")</f>
        <v>22%</v>
      </c>
      <c r="I6" s="465">
        <f>[1]Налаштування!B5/100</f>
        <v>0.53159999999999996</v>
      </c>
      <c r="J6" s="466"/>
      <c r="K6" s="467" t="str">
        <f>CONCATENATE([1]Налаштування!B8,"%")</f>
        <v>10%</v>
      </c>
      <c r="L6" s="463"/>
      <c r="M6" s="276" t="str">
        <f>CONCATENATE([1]Налаштування!B13,"%")</f>
        <v>20%</v>
      </c>
      <c r="N6" s="468"/>
    </row>
    <row r="7" spans="1:14" s="458" customFormat="1" ht="110.45">
      <c r="A7" s="408">
        <v>1</v>
      </c>
      <c r="B7" s="469" t="s">
        <v>255</v>
      </c>
      <c r="C7" s="470" t="s">
        <v>96</v>
      </c>
      <c r="D7" s="471" t="s">
        <v>256</v>
      </c>
      <c r="E7" s="472">
        <f>0.93*$E$6</f>
        <v>1.0788</v>
      </c>
      <c r="F7" s="472">
        <f>ROUND(([1]Оклади!$I$8/173.33*1.25)+[1]ЧТС!$L$30+[1]ЧТС!$L$31,2)/3</f>
        <v>91.990000000000009</v>
      </c>
      <c r="G7" s="473">
        <f>E7*F7</f>
        <v>99.23881200000001</v>
      </c>
      <c r="H7" s="473">
        <f>G7*$H$6</f>
        <v>21.832538640000003</v>
      </c>
      <c r="I7" s="473">
        <f>G7*$I$6</f>
        <v>52.755352459200004</v>
      </c>
      <c r="J7" s="473">
        <f>SUBTOTAL(9,G7:I7)</f>
        <v>173.82670309920002</v>
      </c>
      <c r="K7" s="473">
        <f t="shared" ref="K7:K19" si="0">ROUND(J7*$K$6,2)</f>
        <v>17.38</v>
      </c>
      <c r="L7" s="474">
        <f>J7+K7</f>
        <v>191.20670309920001</v>
      </c>
      <c r="M7" s="473">
        <f t="shared" ref="M7:M21" si="1">L7*$M$6</f>
        <v>38.241340619840003</v>
      </c>
      <c r="N7" s="418">
        <f>M7+L7</f>
        <v>229.44804371904002</v>
      </c>
    </row>
    <row r="8" spans="1:14" s="458" customFormat="1" ht="17.45">
      <c r="A8" s="419">
        <v>2</v>
      </c>
      <c r="B8" s="475" t="s">
        <v>257</v>
      </c>
      <c r="C8" s="476" t="s">
        <v>244</v>
      </c>
      <c r="D8" s="476" t="s">
        <v>244</v>
      </c>
      <c r="E8" s="477">
        <f>1.79*E6</f>
        <v>2.0764</v>
      </c>
      <c r="F8" s="478">
        <f>ROUND(([1]Оклади!$I$8/173.33*1.25)+[1]ЧТС!$L$30+[1]ЧТС!$L$31,2)/3</f>
        <v>91.990000000000009</v>
      </c>
      <c r="G8" s="479">
        <f>E8*F8</f>
        <v>191.00803600000003</v>
      </c>
      <c r="H8" s="479">
        <f t="shared" ref="H8:H21" si="2">G8*$H$6</f>
        <v>42.021767920000009</v>
      </c>
      <c r="I8" s="479">
        <f t="shared" ref="I8:I21" si="3">G8*$I$6</f>
        <v>101.53987193760001</v>
      </c>
      <c r="J8" s="479">
        <f t="shared" ref="J8:J21" si="4">SUBTOTAL(9,G8:I8)</f>
        <v>334.56967585760003</v>
      </c>
      <c r="K8" s="479">
        <f t="shared" si="0"/>
        <v>33.46</v>
      </c>
      <c r="L8" s="480">
        <f>J8+K8</f>
        <v>368.02967585760001</v>
      </c>
      <c r="M8" s="479">
        <f t="shared" si="1"/>
        <v>73.605935171520002</v>
      </c>
      <c r="N8" s="330">
        <f t="shared" ref="N8:N21" si="5">M8+L8</f>
        <v>441.63561102912001</v>
      </c>
    </row>
    <row r="9" spans="1:14" s="458" customFormat="1" ht="18" thickBot="1">
      <c r="A9" s="430">
        <v>3</v>
      </c>
      <c r="B9" s="481" t="s">
        <v>258</v>
      </c>
      <c r="C9" s="482" t="s">
        <v>244</v>
      </c>
      <c r="D9" s="482" t="s">
        <v>244</v>
      </c>
      <c r="E9" s="483">
        <f>2.51*E6</f>
        <v>2.9115999999999995</v>
      </c>
      <c r="F9" s="484">
        <f>ROUND(([1]Оклади!$I$8/173.33*1.25)+[1]ЧТС!$L$30+[1]ЧТС!$L$31,2)/3</f>
        <v>91.990000000000009</v>
      </c>
      <c r="G9" s="485">
        <f>E9*F9</f>
        <v>267.83808399999998</v>
      </c>
      <c r="H9" s="485">
        <f t="shared" si="2"/>
        <v>58.924378479999994</v>
      </c>
      <c r="I9" s="485">
        <f t="shared" si="3"/>
        <v>142.38272545439997</v>
      </c>
      <c r="J9" s="485">
        <f t="shared" si="4"/>
        <v>469.14518793439993</v>
      </c>
      <c r="K9" s="485">
        <f t="shared" si="0"/>
        <v>46.91</v>
      </c>
      <c r="L9" s="486">
        <f>J9+K9</f>
        <v>516.0551879343999</v>
      </c>
      <c r="M9" s="485">
        <f>L9*$M$6</f>
        <v>103.21103758687998</v>
      </c>
      <c r="N9" s="440">
        <f t="shared" si="5"/>
        <v>619.26622552127992</v>
      </c>
    </row>
    <row r="10" spans="1:14" s="458" customFormat="1" ht="30">
      <c r="A10" s="408">
        <v>4</v>
      </c>
      <c r="B10" s="469" t="s">
        <v>259</v>
      </c>
      <c r="C10" s="377" t="s">
        <v>244</v>
      </c>
      <c r="D10" s="377" t="s">
        <v>244</v>
      </c>
      <c r="E10" s="472">
        <f>1.05*E6</f>
        <v>1.218</v>
      </c>
      <c r="F10" s="472">
        <f>ROUND(([1]Оклади!$I$8/173.33*1.25)+[1]ЧТС!$L$30+[1]ЧТС!$L$31,2)/3</f>
        <v>91.990000000000009</v>
      </c>
      <c r="G10" s="473">
        <f t="shared" ref="G10:G21" si="6">E10*F10</f>
        <v>112.04382000000001</v>
      </c>
      <c r="H10" s="473">
        <f t="shared" si="2"/>
        <v>24.649640400000003</v>
      </c>
      <c r="I10" s="473">
        <f t="shared" si="3"/>
        <v>59.562494712000003</v>
      </c>
      <c r="J10" s="473">
        <f t="shared" si="4"/>
        <v>196.25595511200004</v>
      </c>
      <c r="K10" s="473">
        <f t="shared" si="0"/>
        <v>19.63</v>
      </c>
      <c r="L10" s="474">
        <f>J10+K10</f>
        <v>215.88595511200003</v>
      </c>
      <c r="M10" s="473">
        <f t="shared" si="1"/>
        <v>43.17719102240001</v>
      </c>
      <c r="N10" s="418">
        <f t="shared" si="5"/>
        <v>259.06314613440003</v>
      </c>
    </row>
    <row r="11" spans="1:14" s="458" customFormat="1" ht="17.45">
      <c r="A11" s="419">
        <v>5</v>
      </c>
      <c r="B11" s="475" t="s">
        <v>257</v>
      </c>
      <c r="C11" s="476" t="s">
        <v>244</v>
      </c>
      <c r="D11" s="476" t="s">
        <v>244</v>
      </c>
      <c r="E11" s="477">
        <f>1.98*E6</f>
        <v>2.2967999999999997</v>
      </c>
      <c r="F11" s="477">
        <f>ROUND(([1]Оклади!$I$8/173.33*1.25)+[1]ЧТС!$L$30+[1]ЧТС!$L$31,2)/3</f>
        <v>91.990000000000009</v>
      </c>
      <c r="G11" s="479">
        <f t="shared" si="6"/>
        <v>211.28263200000001</v>
      </c>
      <c r="H11" s="479">
        <f t="shared" si="2"/>
        <v>46.482179039999998</v>
      </c>
      <c r="I11" s="479">
        <f t="shared" si="3"/>
        <v>112.3178471712</v>
      </c>
      <c r="J11" s="479">
        <f t="shared" si="4"/>
        <v>370.0826582112</v>
      </c>
      <c r="K11" s="479">
        <f t="shared" si="0"/>
        <v>37.01</v>
      </c>
      <c r="L11" s="480">
        <f>J11+K11</f>
        <v>407.09265821119999</v>
      </c>
      <c r="M11" s="479">
        <f t="shared" si="1"/>
        <v>81.418531642239998</v>
      </c>
      <c r="N11" s="428">
        <f t="shared" si="5"/>
        <v>488.51118985343999</v>
      </c>
    </row>
    <row r="12" spans="1:14" s="458" customFormat="1" ht="18" thickBot="1">
      <c r="A12" s="430">
        <v>6</v>
      </c>
      <c r="B12" s="481" t="s">
        <v>258</v>
      </c>
      <c r="C12" s="482" t="s">
        <v>244</v>
      </c>
      <c r="D12" s="482" t="s">
        <v>244</v>
      </c>
      <c r="E12" s="483">
        <f>2.84*E6</f>
        <v>3.2943999999999996</v>
      </c>
      <c r="F12" s="483">
        <f>ROUND(([1]Оклади!$I$8/173.33*1.25)+[1]ЧТС!$L$30+[1]ЧТС!$L$31,2)/3</f>
        <v>91.990000000000009</v>
      </c>
      <c r="G12" s="485">
        <f t="shared" si="6"/>
        <v>303.05185599999999</v>
      </c>
      <c r="H12" s="485">
        <f t="shared" si="2"/>
        <v>66.671408319999998</v>
      </c>
      <c r="I12" s="485">
        <f t="shared" si="3"/>
        <v>161.10236664959999</v>
      </c>
      <c r="J12" s="485">
        <f t="shared" si="4"/>
        <v>530.82563096959996</v>
      </c>
      <c r="K12" s="485">
        <f t="shared" si="0"/>
        <v>53.08</v>
      </c>
      <c r="L12" s="486">
        <f t="shared" ref="L12:L21" si="7">J12+K12</f>
        <v>583.9056309696</v>
      </c>
      <c r="M12" s="485">
        <f t="shared" si="1"/>
        <v>116.78112619392</v>
      </c>
      <c r="N12" s="440">
        <f t="shared" si="5"/>
        <v>700.68675716352004</v>
      </c>
    </row>
    <row r="13" spans="1:14" s="458" customFormat="1" ht="30">
      <c r="A13" s="408">
        <v>7</v>
      </c>
      <c r="B13" s="469" t="s">
        <v>260</v>
      </c>
      <c r="C13" s="377" t="s">
        <v>244</v>
      </c>
      <c r="D13" s="377" t="s">
        <v>244</v>
      </c>
      <c r="E13" s="472">
        <f>1.53*E6</f>
        <v>1.7747999999999999</v>
      </c>
      <c r="F13" s="472">
        <f>ROUND(([1]Оклади!$I$8/173.33*1.25)+[1]ЧТС!$L$30+[1]ЧТС!$L$31,2)/3</f>
        <v>91.990000000000009</v>
      </c>
      <c r="G13" s="473">
        <f t="shared" si="6"/>
        <v>163.26385200000001</v>
      </c>
      <c r="H13" s="473">
        <f t="shared" si="2"/>
        <v>35.918047440000002</v>
      </c>
      <c r="I13" s="473">
        <f t="shared" si="3"/>
        <v>86.791063723199997</v>
      </c>
      <c r="J13" s="473">
        <f t="shared" si="4"/>
        <v>285.97296316320001</v>
      </c>
      <c r="K13" s="473">
        <f t="shared" si="0"/>
        <v>28.6</v>
      </c>
      <c r="L13" s="474">
        <f t="shared" si="7"/>
        <v>314.57296316320003</v>
      </c>
      <c r="M13" s="473">
        <f t="shared" si="1"/>
        <v>62.914592632640009</v>
      </c>
      <c r="N13" s="418">
        <f t="shared" si="5"/>
        <v>377.48755579584002</v>
      </c>
    </row>
    <row r="14" spans="1:14" s="458" customFormat="1" ht="17.45">
      <c r="A14" s="419">
        <v>8</v>
      </c>
      <c r="B14" s="475" t="s">
        <v>257</v>
      </c>
      <c r="C14" s="476" t="s">
        <v>244</v>
      </c>
      <c r="D14" s="476" t="s">
        <v>244</v>
      </c>
      <c r="E14" s="477">
        <f>2.88*E6</f>
        <v>3.3407999999999998</v>
      </c>
      <c r="F14" s="477">
        <f>ROUND(([1]Оклади!$I$8/173.33*1.25)+[1]ЧТС!$L$30+[1]ЧТС!$L$31,2)/3</f>
        <v>91.990000000000009</v>
      </c>
      <c r="G14" s="479">
        <f t="shared" si="6"/>
        <v>307.32019200000002</v>
      </c>
      <c r="H14" s="479">
        <f t="shared" si="2"/>
        <v>67.610442240000012</v>
      </c>
      <c r="I14" s="479">
        <f t="shared" si="3"/>
        <v>163.37141406719999</v>
      </c>
      <c r="J14" s="479">
        <f t="shared" si="4"/>
        <v>538.30204830720004</v>
      </c>
      <c r="K14" s="479">
        <f t="shared" si="0"/>
        <v>53.83</v>
      </c>
      <c r="L14" s="480">
        <f t="shared" si="7"/>
        <v>592.13204830720008</v>
      </c>
      <c r="M14" s="479">
        <f t="shared" si="1"/>
        <v>118.42640966144002</v>
      </c>
      <c r="N14" s="428">
        <f t="shared" si="5"/>
        <v>710.55845796864014</v>
      </c>
    </row>
    <row r="15" spans="1:14" ht="18" thickBot="1">
      <c r="A15" s="430">
        <v>9</v>
      </c>
      <c r="B15" s="481" t="s">
        <v>258</v>
      </c>
      <c r="C15" s="482" t="s">
        <v>244</v>
      </c>
      <c r="D15" s="482" t="s">
        <v>244</v>
      </c>
      <c r="E15" s="483">
        <f>4.44*E6</f>
        <v>5.1504000000000003</v>
      </c>
      <c r="F15" s="483">
        <f>ROUND(([1]Оклади!$I$8/173.33*1.25)+[1]ЧТС!$L$30+[1]ЧТС!$L$31,2)/3</f>
        <v>91.990000000000009</v>
      </c>
      <c r="G15" s="485">
        <f t="shared" si="6"/>
        <v>473.78529600000007</v>
      </c>
      <c r="H15" s="485">
        <f t="shared" si="2"/>
        <v>104.23276512000001</v>
      </c>
      <c r="I15" s="485">
        <f t="shared" si="3"/>
        <v>251.86426335360002</v>
      </c>
      <c r="J15" s="485">
        <f t="shared" si="4"/>
        <v>829.88232447360008</v>
      </c>
      <c r="K15" s="485">
        <f t="shared" si="0"/>
        <v>82.99</v>
      </c>
      <c r="L15" s="486">
        <f t="shared" si="7"/>
        <v>912.87232447360009</v>
      </c>
      <c r="M15" s="485">
        <f t="shared" si="1"/>
        <v>182.57446489472002</v>
      </c>
      <c r="N15" s="440">
        <f t="shared" si="5"/>
        <v>1095.4467893683202</v>
      </c>
    </row>
    <row r="16" spans="1:14" s="458" customFormat="1" ht="30">
      <c r="A16" s="408">
        <v>10</v>
      </c>
      <c r="B16" s="469" t="s">
        <v>261</v>
      </c>
      <c r="C16" s="377" t="s">
        <v>244</v>
      </c>
      <c r="D16" s="377" t="s">
        <v>244</v>
      </c>
      <c r="E16" s="472">
        <f>2.03*E6</f>
        <v>2.3547999999999996</v>
      </c>
      <c r="F16" s="472">
        <f>ROUND(([1]Оклади!$I$8/173.33*1.25)+[1]ЧТС!$L$30+[1]ЧТС!$L$31,2)/3</f>
        <v>91.990000000000009</v>
      </c>
      <c r="G16" s="473">
        <f t="shared" si="6"/>
        <v>216.61805199999998</v>
      </c>
      <c r="H16" s="473">
        <f t="shared" si="2"/>
        <v>47.655971439999995</v>
      </c>
      <c r="I16" s="473">
        <f t="shared" si="3"/>
        <v>115.15415644319998</v>
      </c>
      <c r="J16" s="473">
        <f t="shared" si="4"/>
        <v>379.42817988319996</v>
      </c>
      <c r="K16" s="473">
        <f t="shared" si="0"/>
        <v>37.94</v>
      </c>
      <c r="L16" s="474">
        <f t="shared" si="7"/>
        <v>417.36817988319996</v>
      </c>
      <c r="M16" s="473">
        <f t="shared" si="1"/>
        <v>83.473635976639997</v>
      </c>
      <c r="N16" s="418">
        <f t="shared" si="5"/>
        <v>500.84181585983993</v>
      </c>
    </row>
    <row r="17" spans="1:14" s="458" customFormat="1" ht="17.45">
      <c r="A17" s="419">
        <v>11</v>
      </c>
      <c r="B17" s="475" t="s">
        <v>257</v>
      </c>
      <c r="C17" s="476" t="s">
        <v>244</v>
      </c>
      <c r="D17" s="476" t="s">
        <v>244</v>
      </c>
      <c r="E17" s="477">
        <f>3.63*E6</f>
        <v>4.2107999999999999</v>
      </c>
      <c r="F17" s="477">
        <f>ROUND(([1]Оклади!$I$8/173.33*1.25)+[1]ЧТС!$L$30+[1]ЧТС!$L$31,2)/3</f>
        <v>91.990000000000009</v>
      </c>
      <c r="G17" s="479">
        <f t="shared" si="6"/>
        <v>387.35149200000001</v>
      </c>
      <c r="H17" s="479">
        <f t="shared" si="2"/>
        <v>85.217328240000001</v>
      </c>
      <c r="I17" s="479">
        <f t="shared" si="3"/>
        <v>205.91605314719999</v>
      </c>
      <c r="J17" s="479">
        <f t="shared" si="4"/>
        <v>678.48487338719997</v>
      </c>
      <c r="K17" s="479">
        <f t="shared" si="0"/>
        <v>67.849999999999994</v>
      </c>
      <c r="L17" s="480">
        <f t="shared" si="7"/>
        <v>746.33487338719999</v>
      </c>
      <c r="M17" s="479">
        <f t="shared" si="1"/>
        <v>149.26697467744</v>
      </c>
      <c r="N17" s="428">
        <f t="shared" si="5"/>
        <v>895.60184806463997</v>
      </c>
    </row>
    <row r="18" spans="1:14" ht="18" thickBot="1">
      <c r="A18" s="430">
        <v>12</v>
      </c>
      <c r="B18" s="481" t="s">
        <v>258</v>
      </c>
      <c r="C18" s="482" t="s">
        <v>244</v>
      </c>
      <c r="D18" s="482" t="s">
        <v>244</v>
      </c>
      <c r="E18" s="483">
        <f>5.78*E6</f>
        <v>6.7047999999999996</v>
      </c>
      <c r="F18" s="483">
        <f>ROUND(([1]Оклади!$I$8/173.33*1.25)+[1]ЧТС!$L$30+[1]ЧТС!$L$31,2)/3</f>
        <v>91.990000000000009</v>
      </c>
      <c r="G18" s="485">
        <f t="shared" si="6"/>
        <v>616.77455200000009</v>
      </c>
      <c r="H18" s="485">
        <f t="shared" si="2"/>
        <v>135.69040144000002</v>
      </c>
      <c r="I18" s="485">
        <f t="shared" si="3"/>
        <v>327.87735184320002</v>
      </c>
      <c r="J18" s="485">
        <f t="shared" si="4"/>
        <v>1080.3423052831999</v>
      </c>
      <c r="K18" s="485">
        <f t="shared" si="0"/>
        <v>108.03</v>
      </c>
      <c r="L18" s="486">
        <f t="shared" si="7"/>
        <v>1188.3723052831999</v>
      </c>
      <c r="M18" s="485">
        <f t="shared" si="1"/>
        <v>237.67446105663998</v>
      </c>
      <c r="N18" s="440">
        <f t="shared" si="5"/>
        <v>1426.0467663398399</v>
      </c>
    </row>
    <row r="19" spans="1:14" s="458" customFormat="1" ht="30" customHeight="1">
      <c r="A19" s="408">
        <v>13</v>
      </c>
      <c r="B19" s="469" t="s">
        <v>262</v>
      </c>
      <c r="C19" s="377" t="s">
        <v>244</v>
      </c>
      <c r="D19" s="377" t="s">
        <v>244</v>
      </c>
      <c r="E19" s="472">
        <f>2.45*E6</f>
        <v>2.8420000000000001</v>
      </c>
      <c r="F19" s="472">
        <f>ROUND(([1]Оклади!$I$8/173.33*1.25)+[1]ЧТС!$L$30+[1]ЧТС!$L$31,2)/3</f>
        <v>91.990000000000009</v>
      </c>
      <c r="G19" s="473">
        <f t="shared" si="6"/>
        <v>261.43558000000002</v>
      </c>
      <c r="H19" s="473">
        <f t="shared" si="2"/>
        <v>57.515827600000001</v>
      </c>
      <c r="I19" s="473">
        <f t="shared" si="3"/>
        <v>138.97915432799999</v>
      </c>
      <c r="J19" s="473">
        <f t="shared" si="4"/>
        <v>457.93056192800003</v>
      </c>
      <c r="K19" s="473">
        <f t="shared" si="0"/>
        <v>45.79</v>
      </c>
      <c r="L19" s="474">
        <f t="shared" si="7"/>
        <v>503.72056192800005</v>
      </c>
      <c r="M19" s="473">
        <f t="shared" si="1"/>
        <v>100.74411238560002</v>
      </c>
      <c r="N19" s="418">
        <f t="shared" si="5"/>
        <v>604.46467431360009</v>
      </c>
    </row>
    <row r="20" spans="1:14" s="458" customFormat="1" ht="17.45">
      <c r="A20" s="419">
        <v>14</v>
      </c>
      <c r="B20" s="475" t="s">
        <v>257</v>
      </c>
      <c r="C20" s="476" t="s">
        <v>244</v>
      </c>
      <c r="D20" s="476" t="s">
        <v>244</v>
      </c>
      <c r="E20" s="477">
        <f>4.3*E6</f>
        <v>4.9879999999999995</v>
      </c>
      <c r="F20" s="477">
        <f>ROUND(([1]Оклади!$I$8/173.33*1.25)+[1]ЧТС!$L$30+[1]ЧТС!$L$31,2)/3</f>
        <v>91.990000000000009</v>
      </c>
      <c r="G20" s="479">
        <f t="shared" si="6"/>
        <v>458.84611999999998</v>
      </c>
      <c r="H20" s="479">
        <f t="shared" si="2"/>
        <v>100.9461464</v>
      </c>
      <c r="I20" s="479">
        <f t="shared" si="3"/>
        <v>243.92259739199997</v>
      </c>
      <c r="J20" s="479">
        <f t="shared" si="4"/>
        <v>803.71486379199996</v>
      </c>
      <c r="K20" s="479">
        <f>ROUND(J20*$K$6,2)</f>
        <v>80.37</v>
      </c>
      <c r="L20" s="480">
        <f t="shared" si="7"/>
        <v>884.08486379199996</v>
      </c>
      <c r="M20" s="479">
        <f t="shared" si="1"/>
        <v>176.8169727584</v>
      </c>
      <c r="N20" s="428">
        <f t="shared" si="5"/>
        <v>1060.9018365504</v>
      </c>
    </row>
    <row r="21" spans="1:14" ht="18" thickBot="1">
      <c r="A21" s="430">
        <v>15</v>
      </c>
      <c r="B21" s="481" t="s">
        <v>258</v>
      </c>
      <c r="C21" s="482" t="s">
        <v>244</v>
      </c>
      <c r="D21" s="482" t="s">
        <v>244</v>
      </c>
      <c r="E21" s="483">
        <f>6.98*E6</f>
        <v>8.0968</v>
      </c>
      <c r="F21" s="483">
        <f>ROUND(([1]Оклади!$I$8/173.33*1.25)+[1]ЧТС!$L$30+[1]ЧТС!$L$31,2)/3</f>
        <v>91.990000000000009</v>
      </c>
      <c r="G21" s="485">
        <f t="shared" si="6"/>
        <v>744.82463200000007</v>
      </c>
      <c r="H21" s="485">
        <f t="shared" si="2"/>
        <v>163.86141904000002</v>
      </c>
      <c r="I21" s="485">
        <f t="shared" si="3"/>
        <v>395.94877437119999</v>
      </c>
      <c r="J21" s="485">
        <f t="shared" si="4"/>
        <v>1304.6348254111999</v>
      </c>
      <c r="K21" s="485">
        <f>ROUND(J21*$K$6,2)</f>
        <v>130.46</v>
      </c>
      <c r="L21" s="486">
        <f t="shared" si="7"/>
        <v>1435.0948254112</v>
      </c>
      <c r="M21" s="485">
        <f t="shared" si="1"/>
        <v>287.01896508224002</v>
      </c>
      <c r="N21" s="440">
        <f t="shared" si="5"/>
        <v>1722.1137904934399</v>
      </c>
    </row>
    <row r="22" spans="1:14" ht="17.45">
      <c r="A22" s="487"/>
      <c r="B22" s="488"/>
      <c r="C22" s="489"/>
      <c r="D22" s="489"/>
      <c r="E22" s="490"/>
      <c r="F22" s="491"/>
      <c r="G22" s="492"/>
      <c r="H22" s="492"/>
      <c r="I22" s="492"/>
      <c r="J22" s="492"/>
      <c r="K22" s="492"/>
      <c r="L22" s="490"/>
      <c r="M22" s="492"/>
      <c r="N22" s="490"/>
    </row>
    <row r="23" spans="1:14">
      <c r="F23" s="495"/>
    </row>
    <row r="24" spans="1:14">
      <c r="F24" s="495"/>
    </row>
    <row r="25" spans="1:14" ht="15.6">
      <c r="A25" s="677"/>
      <c r="B25" s="677"/>
      <c r="F25" s="496"/>
      <c r="G25" s="494"/>
    </row>
  </sheetData>
  <mergeCells count="3">
    <mergeCell ref="A25:B25"/>
    <mergeCell ref="A1:N1"/>
    <mergeCell ref="A2:N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zoomScale="90" zoomScaleNormal="90" workbookViewId="0">
      <selection activeCell="J29" sqref="J29"/>
    </sheetView>
  </sheetViews>
  <sheetFormatPr defaultRowHeight="15"/>
  <cols>
    <col min="1" max="1" width="4.28515625" style="493" customWidth="1"/>
    <col min="2" max="2" width="45.85546875" style="85" customWidth="1"/>
    <col min="3" max="3" width="21.7109375" style="85" customWidth="1"/>
    <col min="4" max="4" width="17.140625" style="85" customWidth="1"/>
    <col min="5" max="5" width="15" style="87" customWidth="1"/>
    <col min="6" max="6" width="11" style="349" customWidth="1"/>
    <col min="7" max="7" width="14.28515625" style="48" customWidth="1"/>
    <col min="8" max="8" width="15.42578125" style="48" customWidth="1"/>
    <col min="9" max="9" width="12.7109375" style="48" customWidth="1"/>
    <col min="10" max="10" width="15.140625" style="48" customWidth="1"/>
    <col min="11" max="11" width="19.28515625" style="48" customWidth="1"/>
    <col min="12" max="12" width="20" style="48" customWidth="1"/>
    <col min="13" max="13" width="13" style="48" customWidth="1"/>
    <col min="14" max="14" width="20.28515625" style="48" customWidth="1"/>
  </cols>
  <sheetData>
    <row r="1" spans="1:14" s="11" customFormat="1" ht="15.6">
      <c r="A1" s="450"/>
      <c r="B1" s="451"/>
      <c r="C1" s="451"/>
      <c r="D1" s="451"/>
      <c r="E1" s="451"/>
      <c r="F1" s="452"/>
      <c r="G1" s="451"/>
      <c r="H1" s="453"/>
      <c r="I1" s="453"/>
      <c r="J1" s="185"/>
      <c r="K1" s="498"/>
      <c r="L1" s="499"/>
      <c r="M1" s="499"/>
      <c r="N1" s="499"/>
    </row>
    <row r="2" spans="1:14" s="11" customFormat="1" ht="23.25" customHeight="1">
      <c r="A2" s="680" t="s">
        <v>263</v>
      </c>
      <c r="B2" s="680"/>
      <c r="C2" s="680"/>
      <c r="D2" s="680"/>
      <c r="E2" s="680"/>
      <c r="F2" s="680"/>
      <c r="G2" s="680"/>
      <c r="H2" s="680"/>
      <c r="I2" s="680"/>
      <c r="J2" s="680"/>
      <c r="K2" s="680"/>
      <c r="L2" s="680"/>
      <c r="M2" s="680"/>
      <c r="N2" s="680"/>
    </row>
    <row r="3" spans="1:14" s="11" customFormat="1" ht="21">
      <c r="A3" s="679" t="s">
        <v>264</v>
      </c>
      <c r="B3" s="679"/>
      <c r="C3" s="679"/>
      <c r="D3" s="679"/>
      <c r="E3" s="679"/>
      <c r="F3" s="679"/>
      <c r="G3" s="679"/>
      <c r="H3" s="679"/>
      <c r="I3" s="679"/>
      <c r="J3" s="679"/>
      <c r="K3" s="679"/>
      <c r="L3" s="679"/>
      <c r="M3" s="679"/>
      <c r="N3" s="679"/>
    </row>
    <row r="4" spans="1:14" s="11" customFormat="1" ht="17.45">
      <c r="A4" s="127"/>
      <c r="B4" s="389"/>
      <c r="C4" s="389"/>
      <c r="D4" s="389"/>
      <c r="E4" s="389"/>
      <c r="F4" s="390"/>
      <c r="G4" s="389"/>
      <c r="H4" s="389"/>
      <c r="I4" s="389"/>
      <c r="J4" s="389"/>
      <c r="K4" s="389"/>
      <c r="L4" s="389"/>
      <c r="M4" s="389"/>
      <c r="N4" s="389"/>
    </row>
    <row r="5" spans="1:14" s="11" customFormat="1" ht="14.45" thickBot="1">
      <c r="A5" s="500" t="str">
        <f>'[1]МР6 Припин'!B11</f>
        <v>Вводиться в дію з "01" жовтня 2023р.</v>
      </c>
      <c r="B5" s="392"/>
      <c r="C5" s="392"/>
      <c r="D5" s="392"/>
      <c r="E5" s="501"/>
      <c r="F5" s="502"/>
      <c r="G5" s="501"/>
      <c r="H5" s="501"/>
      <c r="I5" s="457"/>
      <c r="J5" s="457"/>
      <c r="K5" s="457"/>
      <c r="L5" s="457"/>
      <c r="M5" s="457"/>
      <c r="N5" s="457"/>
    </row>
    <row r="6" spans="1:14" s="458" customFormat="1" ht="45.6" thickBot="1">
      <c r="A6" s="459" t="s">
        <v>82</v>
      </c>
      <c r="B6" s="461" t="s">
        <v>83</v>
      </c>
      <c r="C6" s="395" t="s">
        <v>84</v>
      </c>
      <c r="D6" s="395" t="s">
        <v>232</v>
      </c>
      <c r="E6" s="396" t="s">
        <v>233</v>
      </c>
      <c r="F6" s="462" t="s">
        <v>234</v>
      </c>
      <c r="G6" s="463" t="s">
        <v>235</v>
      </c>
      <c r="H6" s="463" t="s">
        <v>236</v>
      </c>
      <c r="I6" s="463" t="s">
        <v>237</v>
      </c>
      <c r="J6" s="463" t="s">
        <v>238</v>
      </c>
      <c r="K6" s="463" t="s">
        <v>90</v>
      </c>
      <c r="L6" s="463" t="s">
        <v>265</v>
      </c>
      <c r="M6" s="463" t="s">
        <v>92</v>
      </c>
      <c r="N6" s="468" t="s">
        <v>93</v>
      </c>
    </row>
    <row r="7" spans="1:14" s="458" customFormat="1" ht="16.149999999999999" hidden="1" thickBot="1">
      <c r="A7" s="394"/>
      <c r="B7" s="395"/>
      <c r="C7" s="148" t="s">
        <v>254</v>
      </c>
      <c r="D7" s="503"/>
      <c r="E7" s="149">
        <v>1.1599999999999999</v>
      </c>
      <c r="F7" s="504"/>
      <c r="G7" s="149"/>
      <c r="H7" s="505" t="str">
        <f>CONCATENATE([1]Налаштування!B4,"%")</f>
        <v>22%</v>
      </c>
      <c r="I7" s="506">
        <f>[1]Налаштування!B5/100</f>
        <v>0.53159999999999996</v>
      </c>
      <c r="J7" s="507"/>
      <c r="K7" s="508" t="str">
        <f>CONCATENATE([1]Налаштування!B8,"%")</f>
        <v>10%</v>
      </c>
      <c r="L7" s="149"/>
      <c r="M7" s="148" t="str">
        <f>CONCATENATE([1]Налаштування!B13,"%")</f>
        <v>20%</v>
      </c>
      <c r="N7" s="509"/>
    </row>
    <row r="8" spans="1:14" ht="110.45">
      <c r="A8" s="408">
        <v>1</v>
      </c>
      <c r="B8" s="469" t="s">
        <v>266</v>
      </c>
      <c r="C8" s="470" t="s">
        <v>96</v>
      </c>
      <c r="D8" s="471" t="s">
        <v>267</v>
      </c>
      <c r="E8" s="510">
        <f>2.05*$E$7</f>
        <v>2.3779999999999997</v>
      </c>
      <c r="F8" s="472">
        <f>ROUND(([1]Оклади!$I$8/173.33*1.25)+[1]ЧТС!$L$30+[1]ЧТС!$L$31,2)/3</f>
        <v>91.990000000000009</v>
      </c>
      <c r="G8" s="473">
        <f>E8*F8</f>
        <v>218.75221999999999</v>
      </c>
      <c r="H8" s="473">
        <f>G8*$H$7</f>
        <v>48.125488400000002</v>
      </c>
      <c r="I8" s="473">
        <f>ROUND(G8*$I$7,2)</f>
        <v>116.29</v>
      </c>
      <c r="J8" s="473">
        <f>SUBTOTAL(9,G8:I8)</f>
        <v>383.16770840000004</v>
      </c>
      <c r="K8" s="473">
        <f>ROUND(J8*$K$7,2)</f>
        <v>38.32</v>
      </c>
      <c r="L8" s="474">
        <f t="shared" ref="L8:L21" si="0">J8+K8</f>
        <v>421.48770840000003</v>
      </c>
      <c r="M8" s="473">
        <f>L8*$M$7</f>
        <v>84.297541680000009</v>
      </c>
      <c r="N8" s="418">
        <f>L8+M8</f>
        <v>505.78525008000003</v>
      </c>
    </row>
    <row r="9" spans="1:14" ht="17.45">
      <c r="A9" s="419">
        <f>A8+1</f>
        <v>2</v>
      </c>
      <c r="B9" s="475" t="s">
        <v>257</v>
      </c>
      <c r="C9" s="476" t="s">
        <v>244</v>
      </c>
      <c r="D9" s="476" t="s">
        <v>244</v>
      </c>
      <c r="E9" s="511">
        <f>3.99*E7</f>
        <v>4.6284000000000001</v>
      </c>
      <c r="F9" s="477">
        <f>ROUND(([1]Оклади!$I$8/173.33*1.25)+[1]ЧТС!$L$30+[1]ЧТС!$L$31,2)/3</f>
        <v>91.990000000000009</v>
      </c>
      <c r="G9" s="479">
        <f t="shared" ref="G9:G22" si="1">E9*F9</f>
        <v>425.76651600000002</v>
      </c>
      <c r="H9" s="479">
        <f t="shared" ref="H9:H22" si="2">G9*$H$7</f>
        <v>93.66863352</v>
      </c>
      <c r="I9" s="479">
        <f t="shared" ref="I9:I22" si="3">ROUND(G9*$I$7,2)</f>
        <v>226.34</v>
      </c>
      <c r="J9" s="479">
        <f t="shared" ref="J9:J22" si="4">SUBTOTAL(9,G9:I9)</f>
        <v>745.77514952000001</v>
      </c>
      <c r="K9" s="479">
        <f>ROUND(J9*$K$7,2)</f>
        <v>74.58</v>
      </c>
      <c r="L9" s="480">
        <f t="shared" si="0"/>
        <v>820.35514952000005</v>
      </c>
      <c r="M9" s="479">
        <f t="shared" ref="M9:M22" si="5">L9*$M$7</f>
        <v>164.07102990400003</v>
      </c>
      <c r="N9" s="428">
        <f t="shared" ref="N9:N22" si="6">L9+M9</f>
        <v>984.42617942400011</v>
      </c>
    </row>
    <row r="10" spans="1:14" ht="18" thickBot="1">
      <c r="A10" s="430">
        <f t="shared" ref="A10:A22" si="7">A9+1</f>
        <v>3</v>
      </c>
      <c r="B10" s="481" t="s">
        <v>258</v>
      </c>
      <c r="C10" s="482" t="s">
        <v>244</v>
      </c>
      <c r="D10" s="482" t="s">
        <v>244</v>
      </c>
      <c r="E10" s="512">
        <f>6.43*E7</f>
        <v>7.4587999999999992</v>
      </c>
      <c r="F10" s="483">
        <f>ROUND(([1]Оклади!$I$8/173.33*1.25)+[1]ЧТС!$L$30+[1]ЧТС!$L$31,2)/3</f>
        <v>91.990000000000009</v>
      </c>
      <c r="G10" s="485">
        <f t="shared" si="1"/>
        <v>686.13501199999996</v>
      </c>
      <c r="H10" s="485">
        <f t="shared" si="2"/>
        <v>150.94970264</v>
      </c>
      <c r="I10" s="485">
        <f t="shared" si="3"/>
        <v>364.75</v>
      </c>
      <c r="J10" s="485">
        <f t="shared" si="4"/>
        <v>1201.8347146399999</v>
      </c>
      <c r="K10" s="485">
        <f>ROUND(J10*$K$7,2)</f>
        <v>120.18</v>
      </c>
      <c r="L10" s="486">
        <f t="shared" si="0"/>
        <v>1322.01471464</v>
      </c>
      <c r="M10" s="485">
        <f t="shared" si="5"/>
        <v>264.40294292800002</v>
      </c>
      <c r="N10" s="440">
        <f t="shared" si="6"/>
        <v>1586.4176575679999</v>
      </c>
    </row>
    <row r="11" spans="1:14" ht="30">
      <c r="A11" s="408">
        <f>A10+1</f>
        <v>4</v>
      </c>
      <c r="B11" s="469" t="s">
        <v>268</v>
      </c>
      <c r="C11" s="377" t="s">
        <v>244</v>
      </c>
      <c r="D11" s="377" t="s">
        <v>244</v>
      </c>
      <c r="E11" s="510">
        <f>2.51*E7</f>
        <v>2.9115999999999995</v>
      </c>
      <c r="F11" s="472">
        <f>ROUND(([1]Оклади!$I$8/173.33*1.25)+[1]ЧТС!$L$30+[1]ЧТС!$L$31,2)/3</f>
        <v>91.990000000000009</v>
      </c>
      <c r="G11" s="473">
        <f t="shared" si="1"/>
        <v>267.83808399999998</v>
      </c>
      <c r="H11" s="473">
        <f t="shared" si="2"/>
        <v>58.924378479999994</v>
      </c>
      <c r="I11" s="473">
        <f t="shared" si="3"/>
        <v>142.38</v>
      </c>
      <c r="J11" s="473">
        <f t="shared" si="4"/>
        <v>469.14246247999995</v>
      </c>
      <c r="K11" s="473">
        <f>ROUND(J11*$K$7,2)</f>
        <v>46.91</v>
      </c>
      <c r="L11" s="474">
        <f t="shared" si="0"/>
        <v>516.05246247999992</v>
      </c>
      <c r="M11" s="473">
        <f t="shared" si="5"/>
        <v>103.21049249599999</v>
      </c>
      <c r="N11" s="418">
        <f t="shared" si="6"/>
        <v>619.26295497599995</v>
      </c>
    </row>
    <row r="12" spans="1:14" ht="17.45">
      <c r="A12" s="419">
        <f t="shared" si="7"/>
        <v>5</v>
      </c>
      <c r="B12" s="475" t="s">
        <v>257</v>
      </c>
      <c r="C12" s="476" t="s">
        <v>244</v>
      </c>
      <c r="D12" s="476" t="s">
        <v>244</v>
      </c>
      <c r="E12" s="511">
        <f>5.31*E7</f>
        <v>6.1595999999999993</v>
      </c>
      <c r="F12" s="477">
        <f>ROUND(([1]Оклади!$I$8/173.33*1.25)+[1]ЧТС!$L$30+[1]ЧТС!$L$31,2)/3</f>
        <v>91.990000000000009</v>
      </c>
      <c r="G12" s="479">
        <f t="shared" si="1"/>
        <v>566.62160400000005</v>
      </c>
      <c r="H12" s="479">
        <f t="shared" si="2"/>
        <v>124.65675288000001</v>
      </c>
      <c r="I12" s="479">
        <f t="shared" si="3"/>
        <v>301.22000000000003</v>
      </c>
      <c r="J12" s="479">
        <f t="shared" si="4"/>
        <v>992.49835688000007</v>
      </c>
      <c r="K12" s="479">
        <f>ROUND(J12*$K$7,2)</f>
        <v>99.25</v>
      </c>
      <c r="L12" s="480">
        <f t="shared" si="0"/>
        <v>1091.7483568800001</v>
      </c>
      <c r="M12" s="479">
        <f t="shared" si="5"/>
        <v>218.34967137600003</v>
      </c>
      <c r="N12" s="428">
        <f t="shared" si="6"/>
        <v>1310.0980282560001</v>
      </c>
    </row>
    <row r="13" spans="1:14" ht="18" thickBot="1">
      <c r="A13" s="430">
        <f t="shared" si="7"/>
        <v>6</v>
      </c>
      <c r="B13" s="481" t="s">
        <v>258</v>
      </c>
      <c r="C13" s="482" t="s">
        <v>244</v>
      </c>
      <c r="D13" s="482" t="s">
        <v>244</v>
      </c>
      <c r="E13" s="512">
        <f>8.76*E7</f>
        <v>10.161599999999998</v>
      </c>
      <c r="F13" s="483">
        <f>ROUND(([1]Оклади!$I$8/173.33*1.25)+[1]ЧТС!$L$30+[1]ЧТС!$L$31,2)/3</f>
        <v>91.990000000000009</v>
      </c>
      <c r="G13" s="485">
        <f t="shared" si="1"/>
        <v>934.76558399999988</v>
      </c>
      <c r="H13" s="485">
        <f t="shared" si="2"/>
        <v>205.64842847999998</v>
      </c>
      <c r="I13" s="485">
        <f t="shared" si="3"/>
        <v>496.92</v>
      </c>
      <c r="J13" s="485">
        <f t="shared" si="4"/>
        <v>1637.33401248</v>
      </c>
      <c r="K13" s="485">
        <f t="shared" ref="K13:K22" si="8">ROUND(J13*$K$7,2)</f>
        <v>163.72999999999999</v>
      </c>
      <c r="L13" s="486">
        <f t="shared" si="0"/>
        <v>1801.06401248</v>
      </c>
      <c r="M13" s="485">
        <f t="shared" si="5"/>
        <v>360.21280249599999</v>
      </c>
      <c r="N13" s="440">
        <f t="shared" si="6"/>
        <v>2161.276814976</v>
      </c>
    </row>
    <row r="14" spans="1:14" ht="30">
      <c r="A14" s="408">
        <f>A13+1</f>
        <v>7</v>
      </c>
      <c r="B14" s="469" t="s">
        <v>269</v>
      </c>
      <c r="C14" s="377" t="s">
        <v>244</v>
      </c>
      <c r="D14" s="377" t="s">
        <v>244</v>
      </c>
      <c r="E14" s="510">
        <f>2.91*E7</f>
        <v>3.3755999999999999</v>
      </c>
      <c r="F14" s="472">
        <f>ROUND(([1]Оклади!$I$8/173.33*1.25)+[1]ЧТС!$L$30+[1]ЧТС!$L$31,2)/3</f>
        <v>91.990000000000009</v>
      </c>
      <c r="G14" s="473">
        <f t="shared" si="1"/>
        <v>310.52144400000003</v>
      </c>
      <c r="H14" s="473">
        <f t="shared" si="2"/>
        <v>68.314717680000001</v>
      </c>
      <c r="I14" s="473">
        <f t="shared" si="3"/>
        <v>165.07</v>
      </c>
      <c r="J14" s="473">
        <f t="shared" si="4"/>
        <v>543.90616167999997</v>
      </c>
      <c r="K14" s="473">
        <f t="shared" si="8"/>
        <v>54.39</v>
      </c>
      <c r="L14" s="474">
        <f t="shared" si="0"/>
        <v>598.29616167999995</v>
      </c>
      <c r="M14" s="473">
        <f t="shared" si="5"/>
        <v>119.659232336</v>
      </c>
      <c r="N14" s="418">
        <f t="shared" si="6"/>
        <v>717.9553940159999</v>
      </c>
    </row>
    <row r="15" spans="1:14" ht="17.45">
      <c r="A15" s="419">
        <f t="shared" si="7"/>
        <v>8</v>
      </c>
      <c r="B15" s="475" t="s">
        <v>257</v>
      </c>
      <c r="C15" s="476" t="s">
        <v>244</v>
      </c>
      <c r="D15" s="476" t="s">
        <v>244</v>
      </c>
      <c r="E15" s="511">
        <f>7.34*E7</f>
        <v>8.5143999999999984</v>
      </c>
      <c r="F15" s="477">
        <f>ROUND(([1]Оклади!$I$8/173.33*1.25)+[1]ЧТС!$L$30+[1]ЧТС!$L$31,2)/3</f>
        <v>91.990000000000009</v>
      </c>
      <c r="G15" s="479">
        <f t="shared" si="1"/>
        <v>783.23965599999997</v>
      </c>
      <c r="H15" s="479">
        <f t="shared" si="2"/>
        <v>172.31272432</v>
      </c>
      <c r="I15" s="479">
        <f t="shared" si="3"/>
        <v>416.37</v>
      </c>
      <c r="J15" s="479">
        <f t="shared" si="4"/>
        <v>1371.92238032</v>
      </c>
      <c r="K15" s="479">
        <f t="shared" si="8"/>
        <v>137.19</v>
      </c>
      <c r="L15" s="480">
        <f t="shared" si="0"/>
        <v>1509.1123803200001</v>
      </c>
      <c r="M15" s="479">
        <f t="shared" si="5"/>
        <v>301.822476064</v>
      </c>
      <c r="N15" s="428">
        <f t="shared" si="6"/>
        <v>1810.9348563840001</v>
      </c>
    </row>
    <row r="16" spans="1:14" ht="18" thickBot="1">
      <c r="A16" s="430">
        <f t="shared" si="7"/>
        <v>9</v>
      </c>
      <c r="B16" s="481" t="s">
        <v>258</v>
      </c>
      <c r="C16" s="482" t="s">
        <v>244</v>
      </c>
      <c r="D16" s="482" t="s">
        <v>244</v>
      </c>
      <c r="E16" s="512">
        <f>12.38*E7</f>
        <v>14.360799999999999</v>
      </c>
      <c r="F16" s="483">
        <f>ROUND(([1]Оклади!$I$8/173.33*1.25)+[1]ЧТС!$L$30+[1]ЧТС!$L$31,2)/3</f>
        <v>91.990000000000009</v>
      </c>
      <c r="G16" s="485">
        <f t="shared" si="1"/>
        <v>1321.049992</v>
      </c>
      <c r="H16" s="485">
        <f t="shared" si="2"/>
        <v>290.63099824</v>
      </c>
      <c r="I16" s="485">
        <f t="shared" si="3"/>
        <v>702.27</v>
      </c>
      <c r="J16" s="485">
        <f t="shared" si="4"/>
        <v>2313.95099024</v>
      </c>
      <c r="K16" s="485">
        <f t="shared" si="8"/>
        <v>231.4</v>
      </c>
      <c r="L16" s="513">
        <f t="shared" si="0"/>
        <v>2545.3509902400001</v>
      </c>
      <c r="M16" s="485">
        <f t="shared" si="5"/>
        <v>509.07019804800007</v>
      </c>
      <c r="N16" s="440">
        <f t="shared" si="6"/>
        <v>3054.4211882879999</v>
      </c>
    </row>
    <row r="17" spans="1:14" ht="30">
      <c r="A17" s="408">
        <f>A16+1</f>
        <v>10</v>
      </c>
      <c r="B17" s="469" t="s">
        <v>270</v>
      </c>
      <c r="C17" s="377" t="s">
        <v>244</v>
      </c>
      <c r="D17" s="377" t="s">
        <v>244</v>
      </c>
      <c r="E17" s="510">
        <f>3.78*E7</f>
        <v>4.3847999999999994</v>
      </c>
      <c r="F17" s="472">
        <f>ROUND(([1]Оклади!$I$8/173.33*1.25)+[1]ЧТС!$L$30+[1]ЧТС!$L$31,2)/3</f>
        <v>91.990000000000009</v>
      </c>
      <c r="G17" s="473">
        <f t="shared" si="1"/>
        <v>403.357752</v>
      </c>
      <c r="H17" s="473">
        <f t="shared" si="2"/>
        <v>88.738705440000004</v>
      </c>
      <c r="I17" s="473">
        <f t="shared" si="3"/>
        <v>214.42</v>
      </c>
      <c r="J17" s="473">
        <f t="shared" si="4"/>
        <v>706.51645743999995</v>
      </c>
      <c r="K17" s="473">
        <f t="shared" si="8"/>
        <v>70.650000000000006</v>
      </c>
      <c r="L17" s="474">
        <f t="shared" si="0"/>
        <v>777.16645743999993</v>
      </c>
      <c r="M17" s="473">
        <f t="shared" si="5"/>
        <v>155.43329148800001</v>
      </c>
      <c r="N17" s="418">
        <f t="shared" si="6"/>
        <v>932.59974892799994</v>
      </c>
    </row>
    <row r="18" spans="1:14" ht="17.45">
      <c r="A18" s="419">
        <f t="shared" si="7"/>
        <v>11</v>
      </c>
      <c r="B18" s="475" t="s">
        <v>257</v>
      </c>
      <c r="C18" s="476" t="s">
        <v>244</v>
      </c>
      <c r="D18" s="476" t="s">
        <v>244</v>
      </c>
      <c r="E18" s="511">
        <f>9.1*E7</f>
        <v>10.555999999999999</v>
      </c>
      <c r="F18" s="477">
        <f>ROUND(([1]Оклади!$I$8/173.33*1.25)+[1]ЧТС!$L$30+[1]ЧТС!$L$31,2)/3</f>
        <v>91.990000000000009</v>
      </c>
      <c r="G18" s="479">
        <f t="shared" si="1"/>
        <v>971.04644000000008</v>
      </c>
      <c r="H18" s="479">
        <f t="shared" si="2"/>
        <v>213.63021680000003</v>
      </c>
      <c r="I18" s="479">
        <f t="shared" si="3"/>
        <v>516.21</v>
      </c>
      <c r="J18" s="479">
        <f t="shared" si="4"/>
        <v>1700.8866568000001</v>
      </c>
      <c r="K18" s="479">
        <f t="shared" si="8"/>
        <v>170.09</v>
      </c>
      <c r="L18" s="480">
        <f t="shared" si="0"/>
        <v>1870.9766568</v>
      </c>
      <c r="M18" s="479">
        <f t="shared" si="5"/>
        <v>374.19533136000001</v>
      </c>
      <c r="N18" s="330">
        <f t="shared" si="6"/>
        <v>2245.1719881600002</v>
      </c>
    </row>
    <row r="19" spans="1:14" ht="18" thickBot="1">
      <c r="A19" s="430">
        <f t="shared" si="7"/>
        <v>12</v>
      </c>
      <c r="B19" s="481" t="s">
        <v>258</v>
      </c>
      <c r="C19" s="482" t="s">
        <v>244</v>
      </c>
      <c r="D19" s="482" t="s">
        <v>244</v>
      </c>
      <c r="E19" s="512">
        <f>15.78*E7</f>
        <v>18.304799999999997</v>
      </c>
      <c r="F19" s="483">
        <f>ROUND(([1]Оклади!$I$8/173.33*1.25)+[1]ЧТС!$L$30+[1]ЧТС!$L$31,2)/3</f>
        <v>91.990000000000009</v>
      </c>
      <c r="G19" s="485">
        <f t="shared" si="1"/>
        <v>1683.8585519999999</v>
      </c>
      <c r="H19" s="485">
        <f t="shared" si="2"/>
        <v>370.44888143999998</v>
      </c>
      <c r="I19" s="485">
        <f t="shared" si="3"/>
        <v>895.14</v>
      </c>
      <c r="J19" s="485">
        <f t="shared" si="4"/>
        <v>2949.4474334399997</v>
      </c>
      <c r="K19" s="485">
        <f t="shared" si="8"/>
        <v>294.94</v>
      </c>
      <c r="L19" s="486">
        <f t="shared" si="0"/>
        <v>3244.3874334399998</v>
      </c>
      <c r="M19" s="485">
        <f t="shared" si="5"/>
        <v>648.87748668799998</v>
      </c>
      <c r="N19" s="440">
        <f t="shared" si="6"/>
        <v>3893.2649201279996</v>
      </c>
    </row>
    <row r="20" spans="1:14" ht="30">
      <c r="A20" s="408">
        <f>A19+1</f>
        <v>13</v>
      </c>
      <c r="B20" s="469" t="s">
        <v>271</v>
      </c>
      <c r="C20" s="377" t="s">
        <v>244</v>
      </c>
      <c r="D20" s="377" t="s">
        <v>244</v>
      </c>
      <c r="E20" s="510">
        <f>4.27*E7</f>
        <v>4.9531999999999989</v>
      </c>
      <c r="F20" s="472">
        <f>ROUND(([1]Оклади!$I$8/173.33*1.25)+[1]ЧТС!$L$30+[1]ЧТС!$L$31,2)/3</f>
        <v>91.990000000000009</v>
      </c>
      <c r="G20" s="473">
        <f t="shared" si="1"/>
        <v>455.64486799999997</v>
      </c>
      <c r="H20" s="473">
        <f t="shared" si="2"/>
        <v>100.24187096</v>
      </c>
      <c r="I20" s="473">
        <f t="shared" si="3"/>
        <v>242.22</v>
      </c>
      <c r="J20" s="473">
        <f t="shared" si="4"/>
        <v>798.10673896000003</v>
      </c>
      <c r="K20" s="473">
        <f t="shared" si="8"/>
        <v>79.81</v>
      </c>
      <c r="L20" s="474">
        <f t="shared" si="0"/>
        <v>877.91673895999998</v>
      </c>
      <c r="M20" s="473">
        <f t="shared" si="5"/>
        <v>175.58334779200001</v>
      </c>
      <c r="N20" s="418">
        <f t="shared" si="6"/>
        <v>1053.500086752</v>
      </c>
    </row>
    <row r="21" spans="1:14" ht="17.45">
      <c r="A21" s="419">
        <f t="shared" si="7"/>
        <v>14</v>
      </c>
      <c r="B21" s="475" t="s">
        <v>257</v>
      </c>
      <c r="C21" s="476" t="s">
        <v>244</v>
      </c>
      <c r="D21" s="476" t="s">
        <v>244</v>
      </c>
      <c r="E21" s="511">
        <f>10.51*E7</f>
        <v>12.191599999999999</v>
      </c>
      <c r="F21" s="477">
        <f>ROUND(([1]Оклади!$I$8/173.33*1.25)+[1]ЧТС!$L$30+[1]ЧТС!$L$31,2)/3</f>
        <v>91.990000000000009</v>
      </c>
      <c r="G21" s="479">
        <f t="shared" si="1"/>
        <v>1121.5052840000001</v>
      </c>
      <c r="H21" s="479">
        <f t="shared" si="2"/>
        <v>246.73116248000002</v>
      </c>
      <c r="I21" s="479">
        <f t="shared" si="3"/>
        <v>596.19000000000005</v>
      </c>
      <c r="J21" s="479">
        <f t="shared" si="4"/>
        <v>1964.4264464800001</v>
      </c>
      <c r="K21" s="479">
        <f t="shared" si="8"/>
        <v>196.44</v>
      </c>
      <c r="L21" s="480">
        <f t="shared" si="0"/>
        <v>2160.8664464799999</v>
      </c>
      <c r="M21" s="479">
        <f t="shared" si="5"/>
        <v>432.17328929600001</v>
      </c>
      <c r="N21" s="428">
        <f t="shared" si="6"/>
        <v>2593.0397357759998</v>
      </c>
    </row>
    <row r="22" spans="1:14" ht="18" thickBot="1">
      <c r="A22" s="430">
        <f t="shared" si="7"/>
        <v>15</v>
      </c>
      <c r="B22" s="481" t="s">
        <v>258</v>
      </c>
      <c r="C22" s="482" t="s">
        <v>244</v>
      </c>
      <c r="D22" s="482" t="s">
        <v>244</v>
      </c>
      <c r="E22" s="512">
        <f>18.02*E7</f>
        <v>20.903199999999998</v>
      </c>
      <c r="F22" s="483">
        <f>ROUND(([1]Оклади!$I$8/173.33*1.25)+[1]ЧТС!$L$30+[1]ЧТС!$L$31,2)/3</f>
        <v>91.990000000000009</v>
      </c>
      <c r="G22" s="485">
        <f t="shared" si="1"/>
        <v>1922.885368</v>
      </c>
      <c r="H22" s="485">
        <f t="shared" si="2"/>
        <v>423.03478095999998</v>
      </c>
      <c r="I22" s="485">
        <f t="shared" si="3"/>
        <v>1022.21</v>
      </c>
      <c r="J22" s="485">
        <f t="shared" si="4"/>
        <v>3368.13014896</v>
      </c>
      <c r="K22" s="485">
        <f t="shared" si="8"/>
        <v>336.81</v>
      </c>
      <c r="L22" s="486">
        <f>J22+K22</f>
        <v>3704.94014896</v>
      </c>
      <c r="M22" s="485">
        <f t="shared" si="5"/>
        <v>740.98802979200002</v>
      </c>
      <c r="N22" s="440">
        <f t="shared" si="6"/>
        <v>4445.9281787520003</v>
      </c>
    </row>
    <row r="23" spans="1:14" ht="15.6">
      <c r="A23" s="497"/>
      <c r="B23" s="514"/>
      <c r="C23" s="515"/>
      <c r="D23" s="516"/>
      <c r="E23" s="517"/>
      <c r="F23" s="518"/>
      <c r="G23" s="519"/>
      <c r="H23" s="520"/>
      <c r="I23" s="520"/>
      <c r="J23" s="520"/>
      <c r="K23" s="520"/>
      <c r="L23" s="520"/>
      <c r="M23" s="520"/>
      <c r="N23" s="521"/>
    </row>
    <row r="24" spans="1:14">
      <c r="A24" s="449"/>
      <c r="B24" s="388"/>
      <c r="C24" s="388"/>
      <c r="D24" s="388"/>
      <c r="E24" s="388"/>
      <c r="F24" s="522"/>
      <c r="G24" s="388"/>
      <c r="H24" s="388"/>
      <c r="I24" s="388"/>
      <c r="J24" s="188"/>
      <c r="K24" s="188"/>
      <c r="L24" s="188"/>
      <c r="M24" s="188"/>
      <c r="N24" s="188"/>
    </row>
    <row r="25" spans="1:14" ht="15.6">
      <c r="B25" s="493"/>
      <c r="E25" s="85"/>
      <c r="F25" s="524"/>
      <c r="G25" s="49"/>
      <c r="H25" s="494"/>
      <c r="I25" s="494"/>
      <c r="J25" s="494"/>
    </row>
    <row r="26" spans="1:14" ht="15.6">
      <c r="B26" s="493"/>
      <c r="E26" s="85"/>
      <c r="F26" s="524"/>
      <c r="G26" s="49"/>
      <c r="H26" s="494"/>
      <c r="I26" s="494"/>
    </row>
    <row r="27" spans="1:14">
      <c r="B27" s="493"/>
      <c r="E27" s="85"/>
      <c r="F27" s="524"/>
      <c r="G27" s="49"/>
    </row>
    <row r="28" spans="1:14">
      <c r="B28" s="493"/>
      <c r="E28" s="85"/>
      <c r="F28" s="524"/>
      <c r="G28" s="49"/>
    </row>
    <row r="29" spans="1:14" ht="15.6">
      <c r="B29" s="677"/>
      <c r="C29" s="677"/>
      <c r="E29" s="85"/>
      <c r="F29" s="524"/>
      <c r="G29" s="525"/>
      <c r="H29" s="494"/>
    </row>
  </sheetData>
  <mergeCells count="3">
    <mergeCell ref="B29:C29"/>
    <mergeCell ref="A2:N2"/>
    <mergeCell ref="A3:N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zoomScale="90" zoomScaleNormal="90" workbookViewId="0">
      <selection activeCell="P14" sqref="P14"/>
    </sheetView>
  </sheetViews>
  <sheetFormatPr defaultRowHeight="15"/>
  <cols>
    <col min="1" max="1" width="4.85546875" style="493" customWidth="1"/>
    <col min="2" max="2" width="41.5703125" style="85" customWidth="1"/>
    <col min="3" max="3" width="22.42578125" style="85" customWidth="1"/>
    <col min="4" max="4" width="18" style="85" customWidth="1"/>
    <col min="5" max="5" width="14.28515625" style="87" customWidth="1"/>
    <col min="6" max="6" width="12.28515625" style="349" customWidth="1"/>
    <col min="7" max="7" width="13.28515625" style="48" customWidth="1"/>
    <col min="8" max="8" width="15.28515625" style="48" customWidth="1"/>
    <col min="9" max="9" width="11" style="48" customWidth="1"/>
    <col min="10" max="10" width="14.85546875" style="48" customWidth="1"/>
    <col min="11" max="12" width="19.140625" style="48" customWidth="1"/>
    <col min="13" max="13" width="15.85546875" style="48" customWidth="1"/>
    <col min="14" max="14" width="19.85546875" style="48" customWidth="1"/>
  </cols>
  <sheetData>
    <row r="1" spans="1:14" s="11" customFormat="1" ht="15.6">
      <c r="A1" s="450"/>
      <c r="B1" s="451"/>
      <c r="C1" s="451"/>
      <c r="D1" s="451"/>
      <c r="E1" s="451"/>
      <c r="F1" s="452"/>
      <c r="G1" s="451"/>
      <c r="H1" s="453"/>
      <c r="I1" s="453"/>
      <c r="J1" s="185"/>
      <c r="K1" s="450"/>
      <c r="L1" s="451"/>
      <c r="M1" s="451"/>
      <c r="N1" s="451"/>
    </row>
    <row r="2" spans="1:14" s="11" customFormat="1" ht="22.9">
      <c r="A2" s="678" t="s">
        <v>272</v>
      </c>
      <c r="B2" s="678"/>
      <c r="C2" s="678"/>
      <c r="D2" s="678"/>
      <c r="E2" s="678"/>
      <c r="F2" s="678"/>
      <c r="G2" s="678"/>
      <c r="H2" s="678"/>
      <c r="I2" s="678"/>
      <c r="J2" s="678"/>
      <c r="K2" s="678"/>
      <c r="L2" s="678"/>
      <c r="M2" s="678"/>
      <c r="N2" s="678"/>
    </row>
    <row r="3" spans="1:14" s="11" customFormat="1" ht="21">
      <c r="A3" s="679" t="s">
        <v>273</v>
      </c>
      <c r="B3" s="679"/>
      <c r="C3" s="679"/>
      <c r="D3" s="679"/>
      <c r="E3" s="679"/>
      <c r="F3" s="679"/>
      <c r="G3" s="679"/>
      <c r="H3" s="679"/>
      <c r="I3" s="679"/>
      <c r="J3" s="679"/>
      <c r="K3" s="679"/>
      <c r="L3" s="679"/>
      <c r="M3" s="679"/>
      <c r="N3" s="679"/>
    </row>
    <row r="4" spans="1:14" s="11" customFormat="1" ht="17.45">
      <c r="A4" s="127"/>
      <c r="B4" s="389"/>
      <c r="C4" s="389"/>
      <c r="D4" s="389"/>
      <c r="E4" s="389"/>
      <c r="F4" s="390"/>
      <c r="G4" s="389"/>
      <c r="H4" s="389"/>
      <c r="I4" s="389"/>
      <c r="J4" s="389"/>
      <c r="K4" s="389"/>
      <c r="L4" s="389"/>
      <c r="M4" s="389"/>
      <c r="N4" s="389"/>
    </row>
    <row r="5" spans="1:14" s="11" customFormat="1" ht="13.9" thickBot="1">
      <c r="A5" s="391" t="str">
        <f>'[1]МР1 ТУ'!A11</f>
        <v>Вводиться в дію з "01" жовтня 2023р.</v>
      </c>
      <c r="B5" s="454"/>
      <c r="C5" s="454"/>
      <c r="D5" s="454"/>
      <c r="E5" s="455"/>
      <c r="F5" s="456"/>
      <c r="G5" s="455"/>
      <c r="H5" s="455"/>
      <c r="I5" s="457"/>
      <c r="J5" s="457"/>
      <c r="K5" s="457"/>
      <c r="L5" s="457"/>
      <c r="M5" s="457"/>
      <c r="N5" s="457"/>
    </row>
    <row r="6" spans="1:14" s="458" customFormat="1" ht="45.6" thickBot="1">
      <c r="A6" s="459" t="s">
        <v>82</v>
      </c>
      <c r="B6" s="461" t="s">
        <v>83</v>
      </c>
      <c r="C6" s="461" t="s">
        <v>84</v>
      </c>
      <c r="D6" s="461" t="s">
        <v>232</v>
      </c>
      <c r="E6" s="463" t="s">
        <v>233</v>
      </c>
      <c r="F6" s="462" t="s">
        <v>234</v>
      </c>
      <c r="G6" s="463" t="s">
        <v>235</v>
      </c>
      <c r="H6" s="463" t="s">
        <v>236</v>
      </c>
      <c r="I6" s="463" t="s">
        <v>237</v>
      </c>
      <c r="J6" s="463" t="s">
        <v>238</v>
      </c>
      <c r="K6" s="463" t="s">
        <v>90</v>
      </c>
      <c r="L6" s="463" t="s">
        <v>253</v>
      </c>
      <c r="M6" s="463" t="s">
        <v>92</v>
      </c>
      <c r="N6" s="468" t="s">
        <v>93</v>
      </c>
    </row>
    <row r="7" spans="1:14" s="458" customFormat="1" ht="16.149999999999999" hidden="1" thickBot="1">
      <c r="A7" s="459"/>
      <c r="B7" s="460"/>
      <c r="C7" s="276" t="s">
        <v>254</v>
      </c>
      <c r="D7" s="461"/>
      <c r="E7" s="277">
        <v>1.1599999999999999</v>
      </c>
      <c r="F7" s="462"/>
      <c r="G7" s="463"/>
      <c r="H7" s="464" t="str">
        <f>CONCATENATE([1]Налаштування!B4,"%")</f>
        <v>22%</v>
      </c>
      <c r="I7" s="465">
        <f>[1]Налаштування!B5/100</f>
        <v>0.53159999999999996</v>
      </c>
      <c r="J7" s="466"/>
      <c r="K7" s="467" t="str">
        <f>CONCATENATE([1]Налаштування!B8,"%")</f>
        <v>10%</v>
      </c>
      <c r="L7" s="463"/>
      <c r="M7" s="276" t="str">
        <f>CONCATENATE([1]Налаштування!B13,"%")</f>
        <v>20%</v>
      </c>
      <c r="N7" s="468"/>
    </row>
    <row r="8" spans="1:14" s="458" customFormat="1" ht="96.6">
      <c r="A8" s="408">
        <v>1</v>
      </c>
      <c r="B8" s="469" t="s">
        <v>274</v>
      </c>
      <c r="C8" s="470" t="s">
        <v>96</v>
      </c>
      <c r="D8" s="471" t="s">
        <v>275</v>
      </c>
      <c r="E8" s="473">
        <f>0.7*E7</f>
        <v>0.81199999999999994</v>
      </c>
      <c r="F8" s="472">
        <f>ROUND(([1]Оклади!$I$8/173.33*1.25+[1]ЧТС!$L$30+[1]ЧТС!$L$31),2)/3</f>
        <v>91.990000000000009</v>
      </c>
      <c r="G8" s="473">
        <f t="shared" ref="G8:G22" si="0">E8*F8</f>
        <v>74.695880000000002</v>
      </c>
      <c r="H8" s="473">
        <f>G8*$H$7</f>
        <v>16.433093599999999</v>
      </c>
      <c r="I8" s="473">
        <f>G8*$I$7</f>
        <v>39.708329807999995</v>
      </c>
      <c r="J8" s="473">
        <f>SUBTOTAL(9,G8:I8)</f>
        <v>130.837303408</v>
      </c>
      <c r="K8" s="473">
        <f t="shared" ref="K8:K22" si="1">ROUND(J8*$K$7,2)</f>
        <v>13.08</v>
      </c>
      <c r="L8" s="474">
        <f t="shared" ref="L8:L19" si="2">J8+K8</f>
        <v>143.91730340800001</v>
      </c>
      <c r="M8" s="473">
        <f t="shared" ref="M8:M22" si="3">L8*$M$7</f>
        <v>28.783460681600005</v>
      </c>
      <c r="N8" s="418">
        <f>L8+M8</f>
        <v>172.7007640896</v>
      </c>
    </row>
    <row r="9" spans="1:14" s="458" customFormat="1" ht="17.45">
      <c r="A9" s="419">
        <v>2</v>
      </c>
      <c r="B9" s="475" t="s">
        <v>257</v>
      </c>
      <c r="C9" s="476" t="s">
        <v>244</v>
      </c>
      <c r="D9" s="476" t="s">
        <v>244</v>
      </c>
      <c r="E9" s="479">
        <f>1.45*E7</f>
        <v>1.6819999999999999</v>
      </c>
      <c r="F9" s="478">
        <f>ROUND(([1]Оклади!$I$8/173.33*1.25+[1]ЧТС!$L$30+[1]ЧТС!$L$31),2)/3</f>
        <v>91.990000000000009</v>
      </c>
      <c r="G9" s="479">
        <f t="shared" si="0"/>
        <v>154.72718</v>
      </c>
      <c r="H9" s="479">
        <f t="shared" ref="H9:H22" si="4">G9*$H$7</f>
        <v>34.039979600000002</v>
      </c>
      <c r="I9" s="479">
        <f t="shared" ref="I9:I22" si="5">G9*$I$7</f>
        <v>82.252968887999998</v>
      </c>
      <c r="J9" s="479">
        <f t="shared" ref="J9:J22" si="6">SUBTOTAL(9,G9:I9)</f>
        <v>271.02012848800001</v>
      </c>
      <c r="K9" s="479">
        <f t="shared" si="1"/>
        <v>27.1</v>
      </c>
      <c r="L9" s="480">
        <f t="shared" si="2"/>
        <v>298.12012848800003</v>
      </c>
      <c r="M9" s="479">
        <f t="shared" si="3"/>
        <v>59.624025697600011</v>
      </c>
      <c r="N9" s="428">
        <f t="shared" ref="N9:N22" si="7">L9+M9</f>
        <v>357.74415418560005</v>
      </c>
    </row>
    <row r="10" spans="1:14" s="458" customFormat="1" ht="18" thickBot="1">
      <c r="A10" s="430">
        <v>3</v>
      </c>
      <c r="B10" s="481" t="s">
        <v>258</v>
      </c>
      <c r="C10" s="482" t="s">
        <v>244</v>
      </c>
      <c r="D10" s="482" t="s">
        <v>244</v>
      </c>
      <c r="E10" s="485">
        <f>1.91*E7</f>
        <v>2.2155999999999998</v>
      </c>
      <c r="F10" s="478">
        <f>ROUND(([1]Оклади!$I$8/173.33*1.25+[1]ЧТС!$L$30+[1]ЧТС!$L$31),2)/3</f>
        <v>91.990000000000009</v>
      </c>
      <c r="G10" s="485">
        <f t="shared" si="0"/>
        <v>203.81304399999999</v>
      </c>
      <c r="H10" s="485">
        <f t="shared" si="4"/>
        <v>44.838869679999995</v>
      </c>
      <c r="I10" s="485">
        <f t="shared" si="5"/>
        <v>108.34701419039999</v>
      </c>
      <c r="J10" s="485">
        <f t="shared" si="6"/>
        <v>356.99892787039994</v>
      </c>
      <c r="K10" s="485">
        <f t="shared" si="1"/>
        <v>35.700000000000003</v>
      </c>
      <c r="L10" s="486">
        <f t="shared" si="2"/>
        <v>392.69892787039993</v>
      </c>
      <c r="M10" s="485">
        <f t="shared" si="3"/>
        <v>78.539785574079986</v>
      </c>
      <c r="N10" s="440">
        <f t="shared" si="7"/>
        <v>471.23871344447991</v>
      </c>
    </row>
    <row r="11" spans="1:14" s="458" customFormat="1" ht="30">
      <c r="A11" s="408">
        <v>4</v>
      </c>
      <c r="B11" s="469" t="s">
        <v>276</v>
      </c>
      <c r="C11" s="377" t="s">
        <v>244</v>
      </c>
      <c r="D11" s="377" t="s">
        <v>244</v>
      </c>
      <c r="E11" s="473">
        <f>0.73*E7</f>
        <v>0.84679999999999989</v>
      </c>
      <c r="F11" s="472">
        <f>ROUND(([1]Оклади!$I$8/173.33*1.25+[1]ЧТС!$L$30+[1]ЧТС!$L$31),2)/3</f>
        <v>91.990000000000009</v>
      </c>
      <c r="G11" s="473">
        <f t="shared" si="0"/>
        <v>77.897131999999999</v>
      </c>
      <c r="H11" s="473">
        <f t="shared" si="4"/>
        <v>17.137369039999999</v>
      </c>
      <c r="I11" s="473">
        <f t="shared" si="5"/>
        <v>41.4101153712</v>
      </c>
      <c r="J11" s="473">
        <f t="shared" si="6"/>
        <v>136.4446164112</v>
      </c>
      <c r="K11" s="473">
        <f t="shared" si="1"/>
        <v>13.64</v>
      </c>
      <c r="L11" s="474">
        <f t="shared" si="2"/>
        <v>150.08461641119999</v>
      </c>
      <c r="M11" s="473">
        <f t="shared" si="3"/>
        <v>30.016923282240001</v>
      </c>
      <c r="N11" s="418">
        <f t="shared" si="7"/>
        <v>180.10153969343997</v>
      </c>
    </row>
    <row r="12" spans="1:14" s="458" customFormat="1" ht="17.45">
      <c r="A12" s="419">
        <v>5</v>
      </c>
      <c r="B12" s="475" t="s">
        <v>257</v>
      </c>
      <c r="C12" s="476" t="s">
        <v>244</v>
      </c>
      <c r="D12" s="476" t="s">
        <v>244</v>
      </c>
      <c r="E12" s="479">
        <f>1.6*E7</f>
        <v>1.8559999999999999</v>
      </c>
      <c r="F12" s="477">
        <f>ROUND(([1]Оклади!$I$8/173.33*1.25+[1]ЧТС!$L$30+[1]ЧТС!$L$31),2)/3</f>
        <v>91.990000000000009</v>
      </c>
      <c r="G12" s="479">
        <f t="shared" si="0"/>
        <v>170.73344</v>
      </c>
      <c r="H12" s="479">
        <f t="shared" si="4"/>
        <v>37.561356799999999</v>
      </c>
      <c r="I12" s="479">
        <f t="shared" si="5"/>
        <v>90.761896703999994</v>
      </c>
      <c r="J12" s="479">
        <f t="shared" si="6"/>
        <v>299.05669350400001</v>
      </c>
      <c r="K12" s="479">
        <f t="shared" si="1"/>
        <v>29.91</v>
      </c>
      <c r="L12" s="480">
        <f t="shared" si="2"/>
        <v>328.96669350400003</v>
      </c>
      <c r="M12" s="479">
        <f t="shared" si="3"/>
        <v>65.793338700800007</v>
      </c>
      <c r="N12" s="428">
        <f t="shared" si="7"/>
        <v>394.76003220480004</v>
      </c>
    </row>
    <row r="13" spans="1:14" s="458" customFormat="1" ht="18" thickBot="1">
      <c r="A13" s="430">
        <v>6</v>
      </c>
      <c r="B13" s="481" t="s">
        <v>258</v>
      </c>
      <c r="C13" s="482" t="s">
        <v>244</v>
      </c>
      <c r="D13" s="482" t="s">
        <v>244</v>
      </c>
      <c r="E13" s="485">
        <f>2.18*E7</f>
        <v>2.5287999999999999</v>
      </c>
      <c r="F13" s="483">
        <f>ROUND(([1]Оклади!$I$8/173.33*1.25+[1]ЧТС!$L$30+[1]ЧТС!$L$31),2)/3</f>
        <v>91.990000000000009</v>
      </c>
      <c r="G13" s="485">
        <f t="shared" si="0"/>
        <v>232.624312</v>
      </c>
      <c r="H13" s="485">
        <f t="shared" si="4"/>
        <v>51.177348639999998</v>
      </c>
      <c r="I13" s="485">
        <f t="shared" si="5"/>
        <v>123.66308425919999</v>
      </c>
      <c r="J13" s="485">
        <f t="shared" si="6"/>
        <v>407.46474489920001</v>
      </c>
      <c r="K13" s="485">
        <f t="shared" si="1"/>
        <v>40.75</v>
      </c>
      <c r="L13" s="486">
        <f t="shared" si="2"/>
        <v>448.21474489920001</v>
      </c>
      <c r="M13" s="485">
        <f t="shared" si="3"/>
        <v>89.642948979840014</v>
      </c>
      <c r="N13" s="440">
        <f t="shared" si="7"/>
        <v>537.85769387903997</v>
      </c>
    </row>
    <row r="14" spans="1:14" s="458" customFormat="1" ht="30">
      <c r="A14" s="408">
        <v>7</v>
      </c>
      <c r="B14" s="469" t="s">
        <v>277</v>
      </c>
      <c r="C14" s="377" t="s">
        <v>244</v>
      </c>
      <c r="D14" s="377" t="s">
        <v>244</v>
      </c>
      <c r="E14" s="473">
        <f>0.83*E7</f>
        <v>0.96279999999999988</v>
      </c>
      <c r="F14" s="472">
        <f>ROUND(([1]Оклади!$I$8/173.33*1.25+[1]ЧТС!$L$30+[1]ЧТС!$L$31),2)/3</f>
        <v>91.990000000000009</v>
      </c>
      <c r="G14" s="473">
        <f t="shared" si="0"/>
        <v>88.567971999999997</v>
      </c>
      <c r="H14" s="473">
        <f t="shared" si="4"/>
        <v>19.484953839999999</v>
      </c>
      <c r="I14" s="473">
        <f t="shared" si="5"/>
        <v>47.082733915199995</v>
      </c>
      <c r="J14" s="473">
        <f t="shared" si="6"/>
        <v>155.13565975519998</v>
      </c>
      <c r="K14" s="473">
        <f t="shared" si="1"/>
        <v>15.51</v>
      </c>
      <c r="L14" s="474">
        <f t="shared" si="2"/>
        <v>170.64565975519997</v>
      </c>
      <c r="M14" s="473">
        <f t="shared" si="3"/>
        <v>34.129131951039994</v>
      </c>
      <c r="N14" s="418">
        <f t="shared" si="7"/>
        <v>204.77479170623997</v>
      </c>
    </row>
    <row r="15" spans="1:14" s="458" customFormat="1" ht="17.45">
      <c r="A15" s="419">
        <v>8</v>
      </c>
      <c r="B15" s="475" t="s">
        <v>257</v>
      </c>
      <c r="C15" s="476" t="s">
        <v>244</v>
      </c>
      <c r="D15" s="476" t="s">
        <v>244</v>
      </c>
      <c r="E15" s="479">
        <f>1.83*E7</f>
        <v>2.1227999999999998</v>
      </c>
      <c r="F15" s="477">
        <f>ROUND(([1]Оклади!$I$8/173.33*1.25+[1]ЧТС!$L$30+[1]ЧТС!$L$31),2)/3</f>
        <v>91.990000000000009</v>
      </c>
      <c r="G15" s="479">
        <f t="shared" si="0"/>
        <v>195.27637200000001</v>
      </c>
      <c r="H15" s="479">
        <f t="shared" si="4"/>
        <v>42.960801840000002</v>
      </c>
      <c r="I15" s="479">
        <f t="shared" si="5"/>
        <v>103.8089193552</v>
      </c>
      <c r="J15" s="479">
        <f t="shared" si="6"/>
        <v>342.0460931952</v>
      </c>
      <c r="K15" s="479">
        <f t="shared" si="1"/>
        <v>34.200000000000003</v>
      </c>
      <c r="L15" s="480">
        <f t="shared" si="2"/>
        <v>376.24609319519999</v>
      </c>
      <c r="M15" s="479">
        <f t="shared" si="3"/>
        <v>75.249218639039995</v>
      </c>
      <c r="N15" s="428">
        <f t="shared" si="7"/>
        <v>451.49531183424</v>
      </c>
    </row>
    <row r="16" spans="1:14" ht="18" thickBot="1">
      <c r="A16" s="430">
        <v>9</v>
      </c>
      <c r="B16" s="481" t="s">
        <v>258</v>
      </c>
      <c r="C16" s="482" t="s">
        <v>244</v>
      </c>
      <c r="D16" s="482" t="s">
        <v>244</v>
      </c>
      <c r="E16" s="485">
        <f>2.58*E7</f>
        <v>2.9927999999999999</v>
      </c>
      <c r="F16" s="483">
        <f>ROUND(([1]Оклади!$I$8/173.33*1.25+[1]ЧТС!$L$30+[1]ЧТС!$L$31),2)/3</f>
        <v>91.990000000000009</v>
      </c>
      <c r="G16" s="485">
        <f t="shared" si="0"/>
        <v>275.30767200000003</v>
      </c>
      <c r="H16" s="485">
        <f t="shared" si="4"/>
        <v>60.567687840000005</v>
      </c>
      <c r="I16" s="485">
        <f t="shared" si="5"/>
        <v>146.3535584352</v>
      </c>
      <c r="J16" s="485">
        <f t="shared" si="6"/>
        <v>482.22891827520004</v>
      </c>
      <c r="K16" s="485">
        <f t="shared" si="1"/>
        <v>48.22</v>
      </c>
      <c r="L16" s="486">
        <f t="shared" si="2"/>
        <v>530.44891827520007</v>
      </c>
      <c r="M16" s="485">
        <f t="shared" si="3"/>
        <v>106.08978365504002</v>
      </c>
      <c r="N16" s="440">
        <f t="shared" si="7"/>
        <v>636.53870193024011</v>
      </c>
    </row>
    <row r="17" spans="1:14" s="458" customFormat="1" ht="30">
      <c r="A17" s="408">
        <v>10</v>
      </c>
      <c r="B17" s="469" t="s">
        <v>261</v>
      </c>
      <c r="C17" s="377" t="s">
        <v>244</v>
      </c>
      <c r="D17" s="377" t="s">
        <v>244</v>
      </c>
      <c r="E17" s="473">
        <f>0.83*E7</f>
        <v>0.96279999999999988</v>
      </c>
      <c r="F17" s="472">
        <f>ROUND(([1]Оклади!$I$8/173.33*1.25+[1]ЧТС!$L$30+[1]ЧТС!$L$31),2)/3</f>
        <v>91.990000000000009</v>
      </c>
      <c r="G17" s="473">
        <f t="shared" si="0"/>
        <v>88.567971999999997</v>
      </c>
      <c r="H17" s="473">
        <f t="shared" si="4"/>
        <v>19.484953839999999</v>
      </c>
      <c r="I17" s="473">
        <f t="shared" si="5"/>
        <v>47.082733915199995</v>
      </c>
      <c r="J17" s="473">
        <f t="shared" si="6"/>
        <v>155.13565975519998</v>
      </c>
      <c r="K17" s="473">
        <f t="shared" si="1"/>
        <v>15.51</v>
      </c>
      <c r="L17" s="474">
        <f t="shared" si="2"/>
        <v>170.64565975519997</v>
      </c>
      <c r="M17" s="473">
        <f t="shared" si="3"/>
        <v>34.129131951039994</v>
      </c>
      <c r="N17" s="418">
        <f t="shared" si="7"/>
        <v>204.77479170623997</v>
      </c>
    </row>
    <row r="18" spans="1:14" s="458" customFormat="1" ht="17.45">
      <c r="A18" s="419">
        <v>11</v>
      </c>
      <c r="B18" s="475" t="s">
        <v>257</v>
      </c>
      <c r="C18" s="476" t="s">
        <v>244</v>
      </c>
      <c r="D18" s="476" t="s">
        <v>244</v>
      </c>
      <c r="E18" s="479">
        <f>1.83*E7</f>
        <v>2.1227999999999998</v>
      </c>
      <c r="F18" s="477">
        <f>ROUND(([1]Оклади!$I$8/173.33*1.25+[1]ЧТС!$L$30+[1]ЧТС!$L$31),2)/3</f>
        <v>91.990000000000009</v>
      </c>
      <c r="G18" s="479">
        <f t="shared" si="0"/>
        <v>195.27637200000001</v>
      </c>
      <c r="H18" s="479">
        <f t="shared" si="4"/>
        <v>42.960801840000002</v>
      </c>
      <c r="I18" s="479">
        <f t="shared" si="5"/>
        <v>103.8089193552</v>
      </c>
      <c r="J18" s="479">
        <f t="shared" si="6"/>
        <v>342.0460931952</v>
      </c>
      <c r="K18" s="479">
        <f t="shared" si="1"/>
        <v>34.200000000000003</v>
      </c>
      <c r="L18" s="480">
        <f t="shared" si="2"/>
        <v>376.24609319519999</v>
      </c>
      <c r="M18" s="479">
        <f t="shared" si="3"/>
        <v>75.249218639039995</v>
      </c>
      <c r="N18" s="428">
        <f t="shared" si="7"/>
        <v>451.49531183424</v>
      </c>
    </row>
    <row r="19" spans="1:14" ht="18" thickBot="1">
      <c r="A19" s="430">
        <v>12</v>
      </c>
      <c r="B19" s="481" t="s">
        <v>258</v>
      </c>
      <c r="C19" s="482" t="s">
        <v>244</v>
      </c>
      <c r="D19" s="482" t="s">
        <v>244</v>
      </c>
      <c r="E19" s="485">
        <f>2.58*E7</f>
        <v>2.9927999999999999</v>
      </c>
      <c r="F19" s="483">
        <f>ROUND(([1]Оклади!$I$8/173.33*1.25+[1]ЧТС!$L$30+[1]ЧТС!$L$31),2)/3</f>
        <v>91.990000000000009</v>
      </c>
      <c r="G19" s="485">
        <f t="shared" si="0"/>
        <v>275.30767200000003</v>
      </c>
      <c r="H19" s="485">
        <f t="shared" si="4"/>
        <v>60.567687840000005</v>
      </c>
      <c r="I19" s="485">
        <f t="shared" si="5"/>
        <v>146.3535584352</v>
      </c>
      <c r="J19" s="485">
        <f t="shared" si="6"/>
        <v>482.22891827520004</v>
      </c>
      <c r="K19" s="485">
        <f t="shared" si="1"/>
        <v>48.22</v>
      </c>
      <c r="L19" s="486">
        <f t="shared" si="2"/>
        <v>530.44891827520007</v>
      </c>
      <c r="M19" s="485">
        <f t="shared" si="3"/>
        <v>106.08978365504002</v>
      </c>
      <c r="N19" s="440">
        <f t="shared" si="7"/>
        <v>636.53870193024011</v>
      </c>
    </row>
    <row r="20" spans="1:14" s="458" customFormat="1" ht="30">
      <c r="A20" s="408">
        <v>13</v>
      </c>
      <c r="B20" s="469" t="s">
        <v>262</v>
      </c>
      <c r="C20" s="377" t="s">
        <v>244</v>
      </c>
      <c r="D20" s="377" t="s">
        <v>244</v>
      </c>
      <c r="E20" s="473">
        <f>0.83*E7</f>
        <v>0.96279999999999988</v>
      </c>
      <c r="F20" s="472">
        <f>ROUND(([1]Оклади!$I$8/173.33*1.25+[1]ЧТС!$L$30+[1]ЧТС!$L$31),2)/3</f>
        <v>91.990000000000009</v>
      </c>
      <c r="G20" s="473">
        <f t="shared" si="0"/>
        <v>88.567971999999997</v>
      </c>
      <c r="H20" s="473">
        <f t="shared" si="4"/>
        <v>19.484953839999999</v>
      </c>
      <c r="I20" s="473">
        <f t="shared" si="5"/>
        <v>47.082733915199995</v>
      </c>
      <c r="J20" s="473">
        <f t="shared" si="6"/>
        <v>155.13565975519998</v>
      </c>
      <c r="K20" s="473">
        <f t="shared" si="1"/>
        <v>15.51</v>
      </c>
      <c r="L20" s="474">
        <f>J20+K20</f>
        <v>170.64565975519997</v>
      </c>
      <c r="M20" s="473">
        <f t="shared" si="3"/>
        <v>34.129131951039994</v>
      </c>
      <c r="N20" s="418">
        <f t="shared" si="7"/>
        <v>204.77479170623997</v>
      </c>
    </row>
    <row r="21" spans="1:14" s="458" customFormat="1" ht="17.45">
      <c r="A21" s="419">
        <v>14</v>
      </c>
      <c r="B21" s="475" t="s">
        <v>257</v>
      </c>
      <c r="C21" s="476" t="s">
        <v>244</v>
      </c>
      <c r="D21" s="476" t="s">
        <v>244</v>
      </c>
      <c r="E21" s="479">
        <f>1.83*E7</f>
        <v>2.1227999999999998</v>
      </c>
      <c r="F21" s="477">
        <f>ROUND(([1]Оклади!$I$8/173.33*1.25+[1]ЧТС!$L$30+[1]ЧТС!$L$31),2)/3</f>
        <v>91.990000000000009</v>
      </c>
      <c r="G21" s="479">
        <f t="shared" si="0"/>
        <v>195.27637200000001</v>
      </c>
      <c r="H21" s="479">
        <f t="shared" si="4"/>
        <v>42.960801840000002</v>
      </c>
      <c r="I21" s="479">
        <f t="shared" si="5"/>
        <v>103.8089193552</v>
      </c>
      <c r="J21" s="479">
        <f t="shared" si="6"/>
        <v>342.0460931952</v>
      </c>
      <c r="K21" s="479">
        <f t="shared" si="1"/>
        <v>34.200000000000003</v>
      </c>
      <c r="L21" s="480">
        <f>J21+K21</f>
        <v>376.24609319519999</v>
      </c>
      <c r="M21" s="479">
        <f t="shared" si="3"/>
        <v>75.249218639039995</v>
      </c>
      <c r="N21" s="428">
        <f t="shared" si="7"/>
        <v>451.49531183424</v>
      </c>
    </row>
    <row r="22" spans="1:14" ht="18" thickBot="1">
      <c r="A22" s="430">
        <v>15</v>
      </c>
      <c r="B22" s="481" t="s">
        <v>258</v>
      </c>
      <c r="C22" s="482" t="s">
        <v>244</v>
      </c>
      <c r="D22" s="482" t="s">
        <v>244</v>
      </c>
      <c r="E22" s="485">
        <f>2.58*E7</f>
        <v>2.9927999999999999</v>
      </c>
      <c r="F22" s="483">
        <f>ROUND(([1]Оклади!$I$8/173.33*1.25+[1]ЧТС!$L$30+[1]ЧТС!$L$31),2)/3</f>
        <v>91.990000000000009</v>
      </c>
      <c r="G22" s="485">
        <f t="shared" si="0"/>
        <v>275.30767200000003</v>
      </c>
      <c r="H22" s="485">
        <f t="shared" si="4"/>
        <v>60.567687840000005</v>
      </c>
      <c r="I22" s="485">
        <f t="shared" si="5"/>
        <v>146.3535584352</v>
      </c>
      <c r="J22" s="485">
        <f t="shared" si="6"/>
        <v>482.22891827520004</v>
      </c>
      <c r="K22" s="485">
        <f t="shared" si="1"/>
        <v>48.22</v>
      </c>
      <c r="L22" s="486">
        <f>J22+K22</f>
        <v>530.44891827520007</v>
      </c>
      <c r="M22" s="485">
        <f t="shared" si="3"/>
        <v>106.08978365504002</v>
      </c>
      <c r="N22" s="440">
        <f t="shared" si="7"/>
        <v>636.53870193024011</v>
      </c>
    </row>
    <row r="23" spans="1:14">
      <c r="A23" s="444"/>
      <c r="B23" s="384"/>
      <c r="C23" s="384"/>
      <c r="D23" s="384"/>
      <c r="E23" s="193"/>
      <c r="F23" s="346"/>
      <c r="G23" s="188"/>
      <c r="H23" s="188"/>
      <c r="I23" s="188"/>
      <c r="J23" s="188"/>
      <c r="K23" s="188"/>
      <c r="L23" s="188"/>
      <c r="M23" s="188"/>
      <c r="N23" s="188"/>
    </row>
    <row r="24" spans="1:14" ht="15.6">
      <c r="B24" s="444"/>
      <c r="C24" s="384"/>
      <c r="D24" s="384"/>
      <c r="E24" s="384"/>
      <c r="F24" s="445"/>
      <c r="G24" s="523"/>
      <c r="H24" s="188"/>
      <c r="I24" s="188"/>
    </row>
    <row r="25" spans="1:14" ht="15.6">
      <c r="B25" s="493"/>
      <c r="E25" s="85"/>
      <c r="F25" s="524"/>
      <c r="G25" s="49"/>
      <c r="H25" s="494"/>
      <c r="I25" s="494"/>
      <c r="J25" s="494"/>
    </row>
    <row r="26" spans="1:14" ht="15.6">
      <c r="B26" s="493"/>
      <c r="E26" s="85"/>
      <c r="F26" s="524"/>
      <c r="G26" s="49"/>
      <c r="H26" s="494"/>
      <c r="I26" s="494"/>
    </row>
    <row r="27" spans="1:14">
      <c r="B27" s="493"/>
      <c r="E27" s="85"/>
      <c r="F27" s="524"/>
      <c r="G27" s="49"/>
    </row>
    <row r="28" spans="1:14">
      <c r="B28" s="493"/>
      <c r="E28" s="85"/>
      <c r="F28" s="524"/>
      <c r="G28" s="49"/>
    </row>
    <row r="29" spans="1:14" ht="15.6">
      <c r="B29" s="677"/>
      <c r="C29" s="677"/>
      <c r="E29" s="85"/>
      <c r="F29" s="524"/>
      <c r="G29" s="525"/>
      <c r="H29" s="494"/>
    </row>
  </sheetData>
  <mergeCells count="3">
    <mergeCell ref="A2:N2"/>
    <mergeCell ref="A3:N3"/>
    <mergeCell ref="B29:C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0" zoomScaleNormal="80" workbookViewId="0">
      <selection activeCell="G27" sqref="G27"/>
    </sheetView>
  </sheetViews>
  <sheetFormatPr defaultRowHeight="15"/>
  <cols>
    <col min="1" max="1" width="5.28515625" style="493" customWidth="1"/>
    <col min="2" max="2" width="44.5703125" style="85" customWidth="1"/>
    <col min="3" max="3" width="22" style="85" customWidth="1"/>
    <col min="4" max="4" width="16.28515625" style="85" customWidth="1"/>
    <col min="5" max="5" width="14.5703125" style="87" customWidth="1"/>
    <col min="6" max="6" width="10.7109375" style="349" customWidth="1"/>
    <col min="7" max="7" width="14" style="48" customWidth="1"/>
    <col min="8" max="8" width="16" style="48" customWidth="1"/>
    <col min="9" max="9" width="12.7109375" style="48" customWidth="1"/>
    <col min="10" max="10" width="15.7109375" style="48" customWidth="1"/>
    <col min="11" max="11" width="19.5703125" style="48" customWidth="1"/>
    <col min="12" max="12" width="20.7109375" style="48" customWidth="1"/>
    <col min="13" max="13" width="12.85546875" style="48" customWidth="1"/>
    <col min="14" max="14" width="21" style="48" customWidth="1"/>
  </cols>
  <sheetData>
    <row r="1" spans="1:14" s="11" customFormat="1" ht="15.6">
      <c r="A1" s="450"/>
      <c r="B1" s="451"/>
      <c r="C1" s="451"/>
      <c r="D1" s="451"/>
      <c r="E1" s="451"/>
      <c r="F1" s="452"/>
      <c r="G1" s="451"/>
      <c r="H1" s="453"/>
      <c r="I1" s="453"/>
      <c r="J1" s="185"/>
      <c r="K1" s="498"/>
      <c r="L1" s="499"/>
      <c r="M1" s="499"/>
      <c r="N1" s="499"/>
    </row>
    <row r="2" spans="1:14" s="11" customFormat="1" ht="23.25" customHeight="1">
      <c r="A2" s="680" t="s">
        <v>278</v>
      </c>
      <c r="B2" s="680"/>
      <c r="C2" s="680"/>
      <c r="D2" s="680"/>
      <c r="E2" s="680"/>
      <c r="F2" s="680"/>
      <c r="G2" s="680"/>
      <c r="H2" s="680"/>
      <c r="I2" s="680"/>
      <c r="J2" s="680"/>
      <c r="K2" s="680"/>
      <c r="L2" s="680"/>
      <c r="M2" s="680"/>
      <c r="N2" s="680"/>
    </row>
    <row r="3" spans="1:14" s="11" customFormat="1" ht="21">
      <c r="A3" s="683" t="s">
        <v>279</v>
      </c>
      <c r="B3" s="683"/>
      <c r="C3" s="683"/>
      <c r="D3" s="683"/>
      <c r="E3" s="683"/>
      <c r="F3" s="683"/>
      <c r="G3" s="683"/>
      <c r="H3" s="683"/>
      <c r="I3" s="683"/>
      <c r="J3" s="683"/>
      <c r="K3" s="683"/>
      <c r="L3" s="683"/>
      <c r="M3" s="683"/>
      <c r="N3" s="683"/>
    </row>
    <row r="4" spans="1:14" s="11" customFormat="1" ht="17.45">
      <c r="A4" s="127"/>
      <c r="B4" s="389"/>
      <c r="C4" s="389"/>
      <c r="D4" s="389"/>
      <c r="E4" s="389"/>
      <c r="F4" s="390"/>
      <c r="G4" s="389"/>
      <c r="H4" s="389"/>
      <c r="I4" s="389"/>
      <c r="J4" s="389"/>
      <c r="K4" s="389"/>
      <c r="L4" s="389"/>
      <c r="M4" s="389"/>
      <c r="N4" s="389"/>
    </row>
    <row r="5" spans="1:14" s="11" customFormat="1" ht="15.6" thickBot="1">
      <c r="A5" s="500" t="str">
        <f>'[1]МР6 Припин'!B11</f>
        <v>Вводиться в дію з "01" жовтня 2023р.</v>
      </c>
      <c r="B5" s="392"/>
      <c r="C5" s="392"/>
      <c r="D5" s="392"/>
      <c r="E5" s="501"/>
      <c r="F5" s="526"/>
      <c r="G5" s="501"/>
      <c r="H5" s="501"/>
      <c r="I5" s="457"/>
      <c r="J5" s="457"/>
      <c r="K5" s="457"/>
      <c r="L5" s="457"/>
      <c r="M5" s="457"/>
      <c r="N5" s="457"/>
    </row>
    <row r="6" spans="1:14" s="458" customFormat="1" ht="45.6" thickBot="1">
      <c r="A6" s="459" t="s">
        <v>82</v>
      </c>
      <c r="B6" s="461" t="s">
        <v>83</v>
      </c>
      <c r="C6" s="395" t="s">
        <v>84</v>
      </c>
      <c r="D6" s="395" t="s">
        <v>232</v>
      </c>
      <c r="E6" s="396" t="s">
        <v>233</v>
      </c>
      <c r="F6" s="462" t="s">
        <v>234</v>
      </c>
      <c r="G6" s="463" t="s">
        <v>235</v>
      </c>
      <c r="H6" s="463" t="s">
        <v>236</v>
      </c>
      <c r="I6" s="463" t="s">
        <v>237</v>
      </c>
      <c r="J6" s="463" t="s">
        <v>238</v>
      </c>
      <c r="K6" s="463" t="s">
        <v>90</v>
      </c>
      <c r="L6" s="463" t="s">
        <v>265</v>
      </c>
      <c r="M6" s="463" t="s">
        <v>92</v>
      </c>
      <c r="N6" s="468" t="s">
        <v>93</v>
      </c>
    </row>
    <row r="7" spans="1:14" s="458" customFormat="1" ht="16.149999999999999" hidden="1" thickBot="1">
      <c r="A7" s="394"/>
      <c r="B7" s="395"/>
      <c r="C7" s="148" t="s">
        <v>254</v>
      </c>
      <c r="D7" s="503"/>
      <c r="E7" s="149">
        <v>1.1599999999999999</v>
      </c>
      <c r="F7" s="456"/>
      <c r="G7" s="149"/>
      <c r="H7" s="505" t="str">
        <f>CONCATENATE([1]Налаштування!B4,"%")</f>
        <v>22%</v>
      </c>
      <c r="I7" s="506">
        <f>[1]Налаштування!B5/100</f>
        <v>0.53159999999999996</v>
      </c>
      <c r="J7" s="507"/>
      <c r="K7" s="508" t="str">
        <f>CONCATENATE([1]Налаштування!B8,"%")</f>
        <v>10%</v>
      </c>
      <c r="L7" s="149"/>
      <c r="M7" s="148" t="str">
        <f>CONCATENATE([1]Налаштування!B13,"%")</f>
        <v>20%</v>
      </c>
      <c r="N7" s="509"/>
    </row>
    <row r="8" spans="1:14" ht="110.45">
      <c r="A8" s="408">
        <v>1</v>
      </c>
      <c r="B8" s="469" t="s">
        <v>280</v>
      </c>
      <c r="C8" s="470" t="s">
        <v>96</v>
      </c>
      <c r="D8" s="471" t="s">
        <v>281</v>
      </c>
      <c r="E8" s="510">
        <f>1.82*E7</f>
        <v>2.1111999999999997</v>
      </c>
      <c r="F8" s="472">
        <f>ROUND(([1]Оклади!$I$8/173.33*1.25)+[1]ЧТС!$L$30+[1]ЧТС!$L$31,2)/3</f>
        <v>91.990000000000009</v>
      </c>
      <c r="G8" s="473">
        <f>E8*F8</f>
        <v>194.20928799999999</v>
      </c>
      <c r="H8" s="473">
        <f>G8*$H$7</f>
        <v>42.726043359999998</v>
      </c>
      <c r="I8" s="473">
        <f>ROUND(G8*$I$7,2)</f>
        <v>103.24</v>
      </c>
      <c r="J8" s="473">
        <f>SUBTOTAL(9,G8:I8)</f>
        <v>340.17533135999997</v>
      </c>
      <c r="K8" s="473">
        <f t="shared" ref="K8:K22" si="0">ROUND(J8*$K$7,2)</f>
        <v>34.020000000000003</v>
      </c>
      <c r="L8" s="474">
        <f t="shared" ref="L8:L22" si="1">J8+K8</f>
        <v>374.19533135999995</v>
      </c>
      <c r="M8" s="473">
        <f>L8*$M$7</f>
        <v>74.839066271999997</v>
      </c>
      <c r="N8" s="418">
        <f>L8+M8</f>
        <v>449.03439763199992</v>
      </c>
    </row>
    <row r="9" spans="1:14" ht="17.45">
      <c r="A9" s="419">
        <f>A8+1</f>
        <v>2</v>
      </c>
      <c r="B9" s="475" t="s">
        <v>257</v>
      </c>
      <c r="C9" s="476" t="s">
        <v>244</v>
      </c>
      <c r="D9" s="476" t="s">
        <v>244</v>
      </c>
      <c r="E9" s="511">
        <f>3.81*E7</f>
        <v>4.4196</v>
      </c>
      <c r="F9" s="477">
        <f>ROUND(([1]Оклади!$I$8/173.33*1.25)+[1]ЧТС!$L$30+[1]ЧТС!$L$31,2)/3</f>
        <v>91.990000000000009</v>
      </c>
      <c r="G9" s="479">
        <f t="shared" ref="G9:G22" si="2">E9*F9</f>
        <v>406.55900400000002</v>
      </c>
      <c r="H9" s="479">
        <f t="shared" ref="H9:H22" si="3">G9*$H$7</f>
        <v>89.442980880000007</v>
      </c>
      <c r="I9" s="479">
        <f t="shared" ref="I9:I22" si="4">ROUND(G9*$I$7,2)</f>
        <v>216.13</v>
      </c>
      <c r="J9" s="479">
        <f t="shared" ref="J9:J22" si="5">SUBTOTAL(9,G9:I9)</f>
        <v>712.13198488</v>
      </c>
      <c r="K9" s="479">
        <f>ROUND(J9*$K$7,2)</f>
        <v>71.209999999999994</v>
      </c>
      <c r="L9" s="480">
        <f t="shared" si="1"/>
        <v>783.34198488000004</v>
      </c>
      <c r="M9" s="479">
        <f t="shared" ref="M9:M22" si="6">L9*$M$7</f>
        <v>156.66839697600003</v>
      </c>
      <c r="N9" s="428">
        <f t="shared" ref="N9:N22" si="7">L9+M9</f>
        <v>940.01038185600009</v>
      </c>
    </row>
    <row r="10" spans="1:14" ht="18" thickBot="1">
      <c r="A10" s="430">
        <f t="shared" ref="A10:A22" si="8">A9+1</f>
        <v>3</v>
      </c>
      <c r="B10" s="481" t="s">
        <v>282</v>
      </c>
      <c r="C10" s="482" t="s">
        <v>244</v>
      </c>
      <c r="D10" s="482" t="s">
        <v>244</v>
      </c>
      <c r="E10" s="512">
        <f>6.1*E7</f>
        <v>7.0759999999999987</v>
      </c>
      <c r="F10" s="483">
        <f>ROUND(([1]Оклади!$I$8/173.33*1.25)+[1]ЧТС!$L$30+[1]ЧТС!$L$31,2)/3</f>
        <v>91.990000000000009</v>
      </c>
      <c r="G10" s="485">
        <f t="shared" si="2"/>
        <v>650.9212399999999</v>
      </c>
      <c r="H10" s="485">
        <f t="shared" si="3"/>
        <v>143.20267279999999</v>
      </c>
      <c r="I10" s="485">
        <f t="shared" si="4"/>
        <v>346.03</v>
      </c>
      <c r="J10" s="485">
        <f t="shared" si="5"/>
        <v>1140.1539127999999</v>
      </c>
      <c r="K10" s="485">
        <f>ROUND(J10*$K$7,2)</f>
        <v>114.02</v>
      </c>
      <c r="L10" s="486">
        <f t="shared" si="1"/>
        <v>1254.1739127999999</v>
      </c>
      <c r="M10" s="485">
        <f t="shared" si="6"/>
        <v>250.83478256000001</v>
      </c>
      <c r="N10" s="440">
        <f t="shared" si="7"/>
        <v>1505.0086953599998</v>
      </c>
    </row>
    <row r="11" spans="1:14" ht="30">
      <c r="A11" s="408">
        <f>A10+1</f>
        <v>4</v>
      </c>
      <c r="B11" s="469" t="s">
        <v>283</v>
      </c>
      <c r="C11" s="377" t="s">
        <v>244</v>
      </c>
      <c r="D11" s="377" t="s">
        <v>244</v>
      </c>
      <c r="E11" s="510">
        <f>2.37*E7</f>
        <v>2.7492000000000001</v>
      </c>
      <c r="F11" s="472">
        <f>ROUND(([1]Оклади!$I$8/173.33*1.25)+[1]ЧТС!$L$30+[1]ЧТС!$L$31,2)/3</f>
        <v>91.990000000000009</v>
      </c>
      <c r="G11" s="473">
        <f t="shared" si="2"/>
        <v>252.89890800000003</v>
      </c>
      <c r="H11" s="473">
        <f t="shared" si="3"/>
        <v>55.637759760000009</v>
      </c>
      <c r="I11" s="473">
        <f t="shared" si="4"/>
        <v>134.44</v>
      </c>
      <c r="J11" s="473">
        <f t="shared" si="5"/>
        <v>442.97666776000005</v>
      </c>
      <c r="K11" s="473">
        <f t="shared" si="0"/>
        <v>44.3</v>
      </c>
      <c r="L11" s="474">
        <f t="shared" si="1"/>
        <v>487.27666776000007</v>
      </c>
      <c r="M11" s="473">
        <f t="shared" si="6"/>
        <v>97.455333552000013</v>
      </c>
      <c r="N11" s="418">
        <f t="shared" si="7"/>
        <v>584.73200131200008</v>
      </c>
    </row>
    <row r="12" spans="1:14" ht="17.45">
      <c r="A12" s="419">
        <f t="shared" si="8"/>
        <v>5</v>
      </c>
      <c r="B12" s="475" t="s">
        <v>257</v>
      </c>
      <c r="C12" s="476" t="s">
        <v>244</v>
      </c>
      <c r="D12" s="476" t="s">
        <v>244</v>
      </c>
      <c r="E12" s="511">
        <f>4.86*E7</f>
        <v>5.6375999999999999</v>
      </c>
      <c r="F12" s="477">
        <f>ROUND(([1]Оклади!$I$8/173.33*1.25)+[1]ЧТС!$L$30+[1]ЧТС!$L$31,2)/3</f>
        <v>91.990000000000009</v>
      </c>
      <c r="G12" s="479">
        <f t="shared" si="2"/>
        <v>518.60282400000006</v>
      </c>
      <c r="H12" s="479">
        <f t="shared" si="3"/>
        <v>114.09262128000002</v>
      </c>
      <c r="I12" s="479">
        <f t="shared" si="4"/>
        <v>275.69</v>
      </c>
      <c r="J12" s="479">
        <f t="shared" si="5"/>
        <v>908.38544528000011</v>
      </c>
      <c r="K12" s="479">
        <f t="shared" si="0"/>
        <v>90.84</v>
      </c>
      <c r="L12" s="480">
        <f t="shared" si="1"/>
        <v>999.22544528000014</v>
      </c>
      <c r="M12" s="479">
        <f t="shared" si="6"/>
        <v>199.84508905600003</v>
      </c>
      <c r="N12" s="428">
        <f t="shared" si="7"/>
        <v>1199.0705343360003</v>
      </c>
    </row>
    <row r="13" spans="1:14" ht="18" thickBot="1">
      <c r="A13" s="430">
        <f t="shared" si="8"/>
        <v>6</v>
      </c>
      <c r="B13" s="481" t="s">
        <v>258</v>
      </c>
      <c r="C13" s="482" t="s">
        <v>244</v>
      </c>
      <c r="D13" s="482" t="s">
        <v>244</v>
      </c>
      <c r="E13" s="512">
        <f>7.96*E7</f>
        <v>9.2335999999999991</v>
      </c>
      <c r="F13" s="483">
        <f>ROUND(([1]Оклади!$I$8/173.33*1.25)+[1]ЧТС!$L$30+[1]ЧТС!$L$31,2)/3</f>
        <v>91.990000000000009</v>
      </c>
      <c r="G13" s="485">
        <f t="shared" si="2"/>
        <v>849.398864</v>
      </c>
      <c r="H13" s="485">
        <f t="shared" si="3"/>
        <v>186.86775008000001</v>
      </c>
      <c r="I13" s="485">
        <f t="shared" si="4"/>
        <v>451.54</v>
      </c>
      <c r="J13" s="485">
        <f t="shared" si="5"/>
        <v>1487.8066140799999</v>
      </c>
      <c r="K13" s="485">
        <f t="shared" si="0"/>
        <v>148.78</v>
      </c>
      <c r="L13" s="486">
        <f>J13+K13</f>
        <v>1636.5866140799999</v>
      </c>
      <c r="M13" s="485">
        <f t="shared" si="6"/>
        <v>327.317322816</v>
      </c>
      <c r="N13" s="440">
        <f t="shared" si="7"/>
        <v>1963.9039368959998</v>
      </c>
    </row>
    <row r="14" spans="1:14" ht="30">
      <c r="A14" s="408">
        <f>A13+1</f>
        <v>7</v>
      </c>
      <c r="B14" s="469" t="s">
        <v>284</v>
      </c>
      <c r="C14" s="377" t="s">
        <v>244</v>
      </c>
      <c r="D14" s="377" t="s">
        <v>244</v>
      </c>
      <c r="E14" s="510">
        <f>2.72*E7</f>
        <v>3.1552000000000002</v>
      </c>
      <c r="F14" s="472">
        <f>ROUND(([1]Оклади!$I$8/173.33*1.25)+[1]ЧТС!$L$30+[1]ЧТС!$L$31,2)/3</f>
        <v>91.990000000000009</v>
      </c>
      <c r="G14" s="473">
        <f t="shared" si="2"/>
        <v>290.24684800000006</v>
      </c>
      <c r="H14" s="473">
        <f t="shared" si="3"/>
        <v>63.854306560000012</v>
      </c>
      <c r="I14" s="473">
        <f t="shared" si="4"/>
        <v>154.30000000000001</v>
      </c>
      <c r="J14" s="473">
        <f t="shared" si="5"/>
        <v>508.40115456000007</v>
      </c>
      <c r="K14" s="473">
        <f t="shared" si="0"/>
        <v>50.84</v>
      </c>
      <c r="L14" s="474">
        <f t="shared" si="1"/>
        <v>559.24115456000004</v>
      </c>
      <c r="M14" s="473">
        <f t="shared" si="6"/>
        <v>111.84823091200002</v>
      </c>
      <c r="N14" s="418">
        <f t="shared" si="7"/>
        <v>671.089385472</v>
      </c>
    </row>
    <row r="15" spans="1:14" ht="17.45">
      <c r="A15" s="419">
        <f t="shared" si="8"/>
        <v>8</v>
      </c>
      <c r="B15" s="475" t="s">
        <v>257</v>
      </c>
      <c r="C15" s="476" t="s">
        <v>244</v>
      </c>
      <c r="D15" s="476" t="s">
        <v>244</v>
      </c>
      <c r="E15" s="511">
        <f>7.14*E7</f>
        <v>8.2823999999999991</v>
      </c>
      <c r="F15" s="477">
        <f>ROUND(([1]Оклади!$I$8/173.33*1.25)+[1]ЧТС!$L$30+[1]ЧТС!$L$31,2)/3</f>
        <v>91.990000000000009</v>
      </c>
      <c r="G15" s="479">
        <f t="shared" si="2"/>
        <v>761.89797599999997</v>
      </c>
      <c r="H15" s="479">
        <f t="shared" si="3"/>
        <v>167.61755471999999</v>
      </c>
      <c r="I15" s="479">
        <f t="shared" si="4"/>
        <v>405.02</v>
      </c>
      <c r="J15" s="479">
        <f t="shared" si="5"/>
        <v>1334.53553072</v>
      </c>
      <c r="K15" s="479">
        <f t="shared" si="0"/>
        <v>133.44999999999999</v>
      </c>
      <c r="L15" s="480">
        <f t="shared" si="1"/>
        <v>1467.98553072</v>
      </c>
      <c r="M15" s="479">
        <f t="shared" si="6"/>
        <v>293.59710614400001</v>
      </c>
      <c r="N15" s="428">
        <f t="shared" si="7"/>
        <v>1761.5826368640001</v>
      </c>
    </row>
    <row r="16" spans="1:14" ht="18" thickBot="1">
      <c r="A16" s="430">
        <f t="shared" si="8"/>
        <v>9</v>
      </c>
      <c r="B16" s="481" t="s">
        <v>258</v>
      </c>
      <c r="C16" s="482" t="s">
        <v>244</v>
      </c>
      <c r="D16" s="482" t="s">
        <v>244</v>
      </c>
      <c r="E16" s="512">
        <f>12.02*E7</f>
        <v>13.943199999999999</v>
      </c>
      <c r="F16" s="483">
        <f>ROUND(([1]Оклади!$I$8/173.33*1.25)+[1]ЧТС!$L$30+[1]ЧТС!$L$31,2)/3</f>
        <v>91.990000000000009</v>
      </c>
      <c r="G16" s="485">
        <f t="shared" si="2"/>
        <v>1282.6349680000001</v>
      </c>
      <c r="H16" s="485">
        <f t="shared" si="3"/>
        <v>282.17969296000001</v>
      </c>
      <c r="I16" s="485">
        <f t="shared" si="4"/>
        <v>681.85</v>
      </c>
      <c r="J16" s="485">
        <f t="shared" si="5"/>
        <v>2246.6646609600002</v>
      </c>
      <c r="K16" s="485">
        <f t="shared" si="0"/>
        <v>224.67</v>
      </c>
      <c r="L16" s="486">
        <f t="shared" si="1"/>
        <v>2471.3346609600003</v>
      </c>
      <c r="M16" s="485">
        <f t="shared" si="6"/>
        <v>494.26693219200007</v>
      </c>
      <c r="N16" s="440">
        <f t="shared" si="7"/>
        <v>2965.6015931520005</v>
      </c>
    </row>
    <row r="17" spans="1:14" ht="30">
      <c r="A17" s="408">
        <f>A16+1</f>
        <v>10</v>
      </c>
      <c r="B17" s="469" t="s">
        <v>285</v>
      </c>
      <c r="C17" s="377" t="s">
        <v>244</v>
      </c>
      <c r="D17" s="377" t="s">
        <v>244</v>
      </c>
      <c r="E17" s="510">
        <f>4.92*E7</f>
        <v>5.7071999999999994</v>
      </c>
      <c r="F17" s="472">
        <f>ROUND(([1]Оклади!$I$8/173.33*1.25)+[1]ЧТС!$L$30+[1]ЧТС!$L$31,2)/3</f>
        <v>91.990000000000009</v>
      </c>
      <c r="G17" s="473">
        <f t="shared" si="2"/>
        <v>525.00532799999996</v>
      </c>
      <c r="H17" s="473">
        <f t="shared" si="3"/>
        <v>115.50117216</v>
      </c>
      <c r="I17" s="473">
        <f t="shared" si="4"/>
        <v>279.08999999999997</v>
      </c>
      <c r="J17" s="473">
        <f t="shared" si="5"/>
        <v>919.59650016000001</v>
      </c>
      <c r="K17" s="473">
        <f t="shared" si="0"/>
        <v>91.96</v>
      </c>
      <c r="L17" s="474">
        <f t="shared" si="1"/>
        <v>1011.55650016</v>
      </c>
      <c r="M17" s="473">
        <f t="shared" si="6"/>
        <v>202.31130003200002</v>
      </c>
      <c r="N17" s="418">
        <f t="shared" si="7"/>
        <v>1213.867800192</v>
      </c>
    </row>
    <row r="18" spans="1:14" ht="17.45">
      <c r="A18" s="419">
        <f t="shared" si="8"/>
        <v>11</v>
      </c>
      <c r="B18" s="475" t="s">
        <v>257</v>
      </c>
      <c r="C18" s="476" t="s">
        <v>244</v>
      </c>
      <c r="D18" s="476" t="s">
        <v>244</v>
      </c>
      <c r="E18" s="511">
        <f>8.94*E7</f>
        <v>10.370399999999998</v>
      </c>
      <c r="F18" s="477">
        <f>ROUND(([1]Оклади!$I$8/173.33*1.25)+[1]ЧТС!$L$30+[1]ЧТС!$L$31,2)/3</f>
        <v>91.990000000000009</v>
      </c>
      <c r="G18" s="479">
        <f t="shared" si="2"/>
        <v>953.97309599999994</v>
      </c>
      <c r="H18" s="479">
        <f t="shared" si="3"/>
        <v>209.87408112</v>
      </c>
      <c r="I18" s="479">
        <f t="shared" si="4"/>
        <v>507.13</v>
      </c>
      <c r="J18" s="479">
        <f t="shared" si="5"/>
        <v>1670.9771771199999</v>
      </c>
      <c r="K18" s="479">
        <f t="shared" si="0"/>
        <v>167.1</v>
      </c>
      <c r="L18" s="480">
        <f t="shared" si="1"/>
        <v>1838.0771771199998</v>
      </c>
      <c r="M18" s="479">
        <f t="shared" si="6"/>
        <v>367.615435424</v>
      </c>
      <c r="N18" s="428">
        <f t="shared" si="7"/>
        <v>2205.6926125439995</v>
      </c>
    </row>
    <row r="19" spans="1:14" ht="18" thickBot="1">
      <c r="A19" s="430">
        <f t="shared" si="8"/>
        <v>12</v>
      </c>
      <c r="B19" s="481" t="s">
        <v>258</v>
      </c>
      <c r="C19" s="482" t="s">
        <v>244</v>
      </c>
      <c r="D19" s="482" t="s">
        <v>244</v>
      </c>
      <c r="E19" s="512">
        <f>15.22*E7</f>
        <v>17.655200000000001</v>
      </c>
      <c r="F19" s="483">
        <f>ROUND(([1]Оклади!$I$8/173.33*1.25)+[1]ЧТС!$L$30+[1]ЧТС!$L$31,2)/3</f>
        <v>91.990000000000009</v>
      </c>
      <c r="G19" s="485">
        <f t="shared" si="2"/>
        <v>1624.1018480000002</v>
      </c>
      <c r="H19" s="485">
        <f t="shared" si="3"/>
        <v>357.30240656000007</v>
      </c>
      <c r="I19" s="485">
        <f t="shared" si="4"/>
        <v>863.37</v>
      </c>
      <c r="J19" s="485">
        <f t="shared" si="5"/>
        <v>2844.7742545600004</v>
      </c>
      <c r="K19" s="485">
        <f t="shared" si="0"/>
        <v>284.48</v>
      </c>
      <c r="L19" s="486">
        <f t="shared" si="1"/>
        <v>3129.2542545600004</v>
      </c>
      <c r="M19" s="485">
        <f t="shared" si="6"/>
        <v>625.85085091200017</v>
      </c>
      <c r="N19" s="440">
        <f t="shared" si="7"/>
        <v>3755.1051054720006</v>
      </c>
    </row>
    <row r="20" spans="1:14" ht="30">
      <c r="A20" s="408">
        <f>A19+1</f>
        <v>13</v>
      </c>
      <c r="B20" s="469" t="s">
        <v>286</v>
      </c>
      <c r="C20" s="377" t="s">
        <v>244</v>
      </c>
      <c r="D20" s="377" t="s">
        <v>244</v>
      </c>
      <c r="E20" s="510">
        <f>5.77*E7</f>
        <v>6.6931999999999992</v>
      </c>
      <c r="F20" s="472">
        <f>ROUND(([1]Оклади!$I$8/173.33*1.25)+[1]ЧТС!$L$30+[1]ЧТС!$L$31,2)/3</f>
        <v>91.990000000000009</v>
      </c>
      <c r="G20" s="473">
        <f t="shared" si="2"/>
        <v>615.70746799999995</v>
      </c>
      <c r="H20" s="473">
        <f t="shared" si="3"/>
        <v>135.45564295999998</v>
      </c>
      <c r="I20" s="473">
        <f t="shared" si="4"/>
        <v>327.31</v>
      </c>
      <c r="J20" s="473">
        <f t="shared" si="5"/>
        <v>1078.47311096</v>
      </c>
      <c r="K20" s="473">
        <f t="shared" si="0"/>
        <v>107.85</v>
      </c>
      <c r="L20" s="474">
        <f t="shared" si="1"/>
        <v>1186.3231109599999</v>
      </c>
      <c r="M20" s="473">
        <f t="shared" si="6"/>
        <v>237.26462219199999</v>
      </c>
      <c r="N20" s="418">
        <f t="shared" si="7"/>
        <v>1423.5877331519998</v>
      </c>
    </row>
    <row r="21" spans="1:14" ht="17.45">
      <c r="A21" s="419">
        <f t="shared" si="8"/>
        <v>14</v>
      </c>
      <c r="B21" s="475" t="s">
        <v>257</v>
      </c>
      <c r="C21" s="476" t="s">
        <v>244</v>
      </c>
      <c r="D21" s="476" t="s">
        <v>244</v>
      </c>
      <c r="E21" s="511">
        <f>10.36*E7</f>
        <v>12.017599999999998</v>
      </c>
      <c r="F21" s="477">
        <f>ROUND(([1]Оклади!$I$8/173.33*1.25)+[1]ЧТС!$L$30+[1]ЧТС!$L$31,2)/3</f>
        <v>91.990000000000009</v>
      </c>
      <c r="G21" s="479">
        <f t="shared" si="2"/>
        <v>1105.499024</v>
      </c>
      <c r="H21" s="479">
        <f t="shared" si="3"/>
        <v>243.20978528000001</v>
      </c>
      <c r="I21" s="479">
        <f t="shared" si="4"/>
        <v>587.67999999999995</v>
      </c>
      <c r="J21" s="479">
        <f t="shared" si="5"/>
        <v>1936.3888092799998</v>
      </c>
      <c r="K21" s="479">
        <f t="shared" si="0"/>
        <v>193.64</v>
      </c>
      <c r="L21" s="480">
        <f t="shared" si="1"/>
        <v>2130.0288092799997</v>
      </c>
      <c r="M21" s="479">
        <f t="shared" si="6"/>
        <v>426.00576185599994</v>
      </c>
      <c r="N21" s="428">
        <f t="shared" si="7"/>
        <v>2556.0345711359996</v>
      </c>
    </row>
    <row r="22" spans="1:14" ht="18" thickBot="1">
      <c r="A22" s="430">
        <f t="shared" si="8"/>
        <v>15</v>
      </c>
      <c r="B22" s="481" t="s">
        <v>258</v>
      </c>
      <c r="C22" s="482" t="s">
        <v>244</v>
      </c>
      <c r="D22" s="482" t="s">
        <v>244</v>
      </c>
      <c r="E22" s="512">
        <f>17.75*E7</f>
        <v>20.59</v>
      </c>
      <c r="F22" s="483">
        <f>ROUND(([1]Оклади!$I$8/173.33*1.25)+[1]ЧТС!$L$30+[1]ЧТС!$L$31,2)/3</f>
        <v>91.990000000000009</v>
      </c>
      <c r="G22" s="485">
        <f t="shared" si="2"/>
        <v>1894.0741000000003</v>
      </c>
      <c r="H22" s="485">
        <f t="shared" si="3"/>
        <v>416.69630200000006</v>
      </c>
      <c r="I22" s="485">
        <f t="shared" si="4"/>
        <v>1006.89</v>
      </c>
      <c r="J22" s="485">
        <f t="shared" si="5"/>
        <v>3317.660402</v>
      </c>
      <c r="K22" s="485">
        <f t="shared" si="0"/>
        <v>331.77</v>
      </c>
      <c r="L22" s="486">
        <f t="shared" si="1"/>
        <v>3649.430402</v>
      </c>
      <c r="M22" s="485">
        <f t="shared" si="6"/>
        <v>729.88608040000008</v>
      </c>
      <c r="N22" s="440">
        <f t="shared" si="7"/>
        <v>4379.3164823999996</v>
      </c>
    </row>
    <row r="23" spans="1:14" ht="15.6">
      <c r="A23" s="497"/>
      <c r="B23" s="514"/>
      <c r="C23" s="515"/>
      <c r="D23" s="516"/>
      <c r="E23" s="517"/>
      <c r="F23" s="518"/>
      <c r="G23" s="519"/>
      <c r="H23" s="520"/>
      <c r="I23" s="520"/>
      <c r="J23" s="520"/>
      <c r="K23" s="520"/>
      <c r="L23" s="520"/>
      <c r="M23" s="520"/>
      <c r="N23" s="521"/>
    </row>
    <row r="24" spans="1:14">
      <c r="A24" s="449"/>
      <c r="B24" s="684"/>
      <c r="C24" s="684"/>
      <c r="D24" s="684"/>
      <c r="E24" s="684"/>
      <c r="F24" s="684"/>
      <c r="G24" s="684"/>
      <c r="H24" s="684"/>
      <c r="I24" s="684"/>
      <c r="J24" s="188"/>
      <c r="K24" s="188"/>
      <c r="L24" s="188"/>
      <c r="M24" s="188"/>
      <c r="N24" s="188"/>
    </row>
    <row r="25" spans="1:14">
      <c r="A25" s="444"/>
      <c r="B25" s="384"/>
      <c r="C25" s="384"/>
      <c r="D25" s="384"/>
      <c r="E25" s="193"/>
      <c r="F25" s="346"/>
      <c r="G25" s="188"/>
      <c r="H25" s="188"/>
      <c r="I25" s="188"/>
      <c r="J25" s="188"/>
      <c r="K25" s="188"/>
      <c r="L25" s="188"/>
      <c r="M25" s="188"/>
      <c r="N25" s="188"/>
    </row>
    <row r="26" spans="1:14">
      <c r="A26" s="444"/>
      <c r="B26" s="681"/>
      <c r="C26" s="681"/>
      <c r="D26" s="384"/>
      <c r="E26" s="384"/>
      <c r="F26" s="445"/>
      <c r="G26" s="188"/>
      <c r="H26" s="188"/>
      <c r="I26" s="188"/>
      <c r="J26" s="188"/>
      <c r="K26" s="188"/>
      <c r="L26" s="188"/>
      <c r="M26" s="188"/>
      <c r="N26" s="188"/>
    </row>
    <row r="27" spans="1:14" ht="15.6">
      <c r="A27" s="444"/>
      <c r="B27" s="444"/>
      <c r="C27" s="384"/>
      <c r="D27" s="384"/>
      <c r="E27" s="384"/>
      <c r="F27" s="445"/>
      <c r="G27" s="523"/>
      <c r="H27" s="188"/>
      <c r="I27" s="188"/>
      <c r="J27" s="188"/>
      <c r="K27" s="188"/>
      <c r="L27" s="188"/>
      <c r="M27" s="188"/>
      <c r="N27" s="188"/>
    </row>
    <row r="28" spans="1:14" ht="15.6">
      <c r="A28" s="444"/>
      <c r="B28" s="444"/>
      <c r="C28" s="384"/>
      <c r="D28" s="384"/>
      <c r="E28" s="384"/>
      <c r="F28" s="445"/>
      <c r="G28" s="527"/>
      <c r="H28" s="186"/>
      <c r="I28" s="186"/>
      <c r="J28" s="188"/>
      <c r="K28" s="188"/>
      <c r="L28" s="188"/>
      <c r="M28" s="188"/>
      <c r="N28" s="188"/>
    </row>
    <row r="29" spans="1:14" ht="15.6">
      <c r="A29" s="444"/>
      <c r="B29" s="444"/>
      <c r="C29" s="384"/>
      <c r="D29" s="384"/>
      <c r="E29" s="384"/>
      <c r="F29" s="445"/>
      <c r="G29" s="527"/>
      <c r="H29" s="186"/>
      <c r="I29" s="186"/>
      <c r="J29" s="188"/>
      <c r="K29" s="188"/>
      <c r="L29" s="188"/>
      <c r="M29" s="188"/>
      <c r="N29" s="188"/>
    </row>
    <row r="30" spans="1:14">
      <c r="A30" s="444"/>
      <c r="B30" s="444"/>
      <c r="C30" s="384"/>
      <c r="D30" s="384"/>
      <c r="E30" s="384"/>
      <c r="F30" s="445"/>
      <c r="G30" s="527"/>
      <c r="H30" s="188"/>
      <c r="I30" s="188"/>
      <c r="J30" s="188"/>
      <c r="K30" s="188"/>
      <c r="L30" s="188"/>
      <c r="M30" s="188"/>
      <c r="N30" s="188"/>
    </row>
    <row r="31" spans="1:14">
      <c r="A31" s="444"/>
      <c r="B31" s="444"/>
      <c r="C31" s="384"/>
      <c r="D31" s="384"/>
      <c r="E31" s="384"/>
      <c r="F31" s="445"/>
      <c r="G31" s="527"/>
      <c r="H31" s="188"/>
      <c r="I31" s="188"/>
      <c r="J31" s="188"/>
      <c r="K31" s="188"/>
      <c r="L31" s="188"/>
      <c r="M31" s="188"/>
      <c r="N31" s="188"/>
    </row>
    <row r="32" spans="1:14" ht="15.6">
      <c r="A32" s="444"/>
      <c r="B32" s="682"/>
      <c r="C32" s="682"/>
      <c r="D32" s="384"/>
      <c r="E32" s="384"/>
      <c r="F32" s="445"/>
      <c r="G32" s="523"/>
      <c r="H32" s="186"/>
      <c r="I32" s="188"/>
      <c r="J32" s="188"/>
      <c r="K32" s="188"/>
      <c r="L32" s="188"/>
      <c r="M32" s="188"/>
      <c r="N32" s="188"/>
    </row>
    <row r="33" spans="1:14">
      <c r="A33" s="444"/>
      <c r="B33" s="384"/>
      <c r="C33" s="384"/>
      <c r="D33" s="384"/>
      <c r="E33" s="193"/>
      <c r="F33" s="346"/>
      <c r="G33" s="188"/>
      <c r="H33" s="188"/>
      <c r="I33" s="188"/>
      <c r="J33" s="188"/>
      <c r="K33" s="188"/>
      <c r="L33" s="188"/>
      <c r="M33" s="188"/>
      <c r="N33" s="188"/>
    </row>
  </sheetData>
  <mergeCells count="5">
    <mergeCell ref="B26:C26"/>
    <mergeCell ref="B32:C32"/>
    <mergeCell ref="A2:N2"/>
    <mergeCell ref="A3:N3"/>
    <mergeCell ref="B24:I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5"/>
  <sheetViews>
    <sheetView zoomScale="80" zoomScaleNormal="80" workbookViewId="0">
      <selection activeCell="H24" sqref="H24"/>
    </sheetView>
  </sheetViews>
  <sheetFormatPr defaultRowHeight="15"/>
  <cols>
    <col min="1" max="1" width="5" style="493" customWidth="1"/>
    <col min="2" max="2" width="42.140625" style="85" customWidth="1"/>
    <col min="3" max="3" width="17.42578125" style="85" customWidth="1"/>
    <col min="4" max="4" width="20" style="85" customWidth="1"/>
    <col min="5" max="5" width="15" style="87" customWidth="1"/>
    <col min="6" max="6" width="11.7109375" style="349" customWidth="1"/>
    <col min="7" max="7" width="13.140625" style="48" customWidth="1"/>
    <col min="8" max="8" width="16.28515625" style="48" customWidth="1"/>
    <col min="9" max="9" width="13" style="48" customWidth="1"/>
    <col min="10" max="10" width="16.140625" style="48" customWidth="1"/>
    <col min="11" max="11" width="19" style="48" customWidth="1"/>
    <col min="12" max="12" width="21.140625" style="48" customWidth="1"/>
    <col min="13" max="13" width="15.85546875" style="48" customWidth="1"/>
    <col min="14" max="14" width="19.5703125" style="48" customWidth="1"/>
  </cols>
  <sheetData>
    <row r="1" spans="1:14" s="11" customFormat="1" ht="15.6">
      <c r="A1" s="385"/>
      <c r="B1" s="131"/>
      <c r="C1" s="131"/>
      <c r="D1" s="131"/>
      <c r="E1" s="131"/>
      <c r="F1" s="312"/>
      <c r="G1" s="131"/>
      <c r="H1" s="141"/>
      <c r="I1" s="141"/>
      <c r="J1" s="528"/>
      <c r="K1" s="385"/>
      <c r="L1" s="131"/>
      <c r="M1" s="131"/>
      <c r="N1" s="131"/>
    </row>
    <row r="2" spans="1:14" s="11" customFormat="1" ht="21">
      <c r="A2" s="675" t="s">
        <v>287</v>
      </c>
      <c r="B2" s="675"/>
      <c r="C2" s="675"/>
      <c r="D2" s="675"/>
      <c r="E2" s="675"/>
      <c r="F2" s="675"/>
      <c r="G2" s="675"/>
      <c r="H2" s="675"/>
      <c r="I2" s="675"/>
      <c r="J2" s="675"/>
      <c r="K2" s="675"/>
      <c r="L2" s="675"/>
      <c r="M2" s="675"/>
      <c r="N2" s="675"/>
    </row>
    <row r="3" spans="1:14" s="11" customFormat="1" ht="17.45">
      <c r="A3" s="673" t="s">
        <v>62</v>
      </c>
      <c r="B3" s="673"/>
      <c r="C3" s="673"/>
      <c r="D3" s="673"/>
      <c r="E3" s="673"/>
      <c r="F3" s="673"/>
      <c r="G3" s="673"/>
      <c r="H3" s="673"/>
      <c r="I3" s="673"/>
      <c r="J3" s="673"/>
      <c r="K3" s="673"/>
      <c r="L3" s="673"/>
      <c r="M3" s="673"/>
      <c r="N3" s="673"/>
    </row>
    <row r="4" spans="1:14" s="11" customFormat="1" ht="17.45">
      <c r="A4" s="127"/>
      <c r="B4" s="389"/>
      <c r="C4" s="389"/>
      <c r="D4" s="389"/>
      <c r="E4" s="389"/>
      <c r="F4" s="390"/>
      <c r="G4" s="389"/>
      <c r="H4" s="389"/>
      <c r="I4" s="389"/>
      <c r="J4" s="389"/>
      <c r="K4" s="389"/>
      <c r="L4" s="389"/>
      <c r="M4" s="389"/>
      <c r="N4" s="389"/>
    </row>
    <row r="5" spans="1:14" s="11" customFormat="1" ht="14.45" thickBot="1">
      <c r="A5" s="500" t="str">
        <f>'[1]МР1 ТУ'!A11</f>
        <v>Вводиться в дію з "01" жовтня 2023р.</v>
      </c>
      <c r="B5" s="392"/>
      <c r="C5" s="392"/>
      <c r="D5" s="392"/>
      <c r="E5" s="501"/>
      <c r="F5" s="502"/>
      <c r="G5" s="501"/>
      <c r="H5" s="501"/>
      <c r="I5" s="457"/>
      <c r="J5" s="457"/>
      <c r="K5" s="457"/>
      <c r="L5" s="457"/>
      <c r="M5" s="457"/>
      <c r="N5" s="457"/>
    </row>
    <row r="6" spans="1:14" s="458" customFormat="1" ht="45.6" thickBot="1">
      <c r="A6" s="459" t="s">
        <v>82</v>
      </c>
      <c r="B6" s="461" t="s">
        <v>83</v>
      </c>
      <c r="C6" s="395" t="s">
        <v>84</v>
      </c>
      <c r="D6" s="395" t="s">
        <v>232</v>
      </c>
      <c r="E6" s="396" t="s">
        <v>233</v>
      </c>
      <c r="F6" s="462" t="s">
        <v>234</v>
      </c>
      <c r="G6" s="463" t="s">
        <v>235</v>
      </c>
      <c r="H6" s="463" t="s">
        <v>236</v>
      </c>
      <c r="I6" s="463" t="s">
        <v>237</v>
      </c>
      <c r="J6" s="463" t="s">
        <v>238</v>
      </c>
      <c r="K6" s="463" t="s">
        <v>90</v>
      </c>
      <c r="L6" s="463" t="s">
        <v>91</v>
      </c>
      <c r="M6" s="463" t="s">
        <v>92</v>
      </c>
      <c r="N6" s="468" t="s">
        <v>93</v>
      </c>
    </row>
    <row r="7" spans="1:14" s="458" customFormat="1" ht="16.149999999999999" hidden="1" thickBot="1">
      <c r="A7" s="394"/>
      <c r="B7" s="395"/>
      <c r="C7" s="148" t="s">
        <v>254</v>
      </c>
      <c r="D7" s="395"/>
      <c r="E7" s="529"/>
      <c r="F7" s="504"/>
      <c r="G7" s="149"/>
      <c r="H7" s="505" t="str">
        <f>CONCATENATE([1]Налаштування!B4,"%")</f>
        <v>22%</v>
      </c>
      <c r="I7" s="530">
        <f>[1]Налаштування!B5/100</f>
        <v>0.53159999999999996</v>
      </c>
      <c r="J7" s="507"/>
      <c r="K7" s="508" t="str">
        <f>CONCATENATE([1]Налаштування!B8,"%")</f>
        <v>10%</v>
      </c>
      <c r="L7" s="149"/>
      <c r="M7" s="148" t="str">
        <f>CONCATENATE([1]Налаштування!B13,"%")</f>
        <v>20%</v>
      </c>
      <c r="N7" s="509"/>
    </row>
    <row r="8" spans="1:14" s="458" customFormat="1" ht="150">
      <c r="A8" s="408">
        <v>1</v>
      </c>
      <c r="B8" s="531" t="s">
        <v>62</v>
      </c>
      <c r="C8" s="377" t="s">
        <v>96</v>
      </c>
      <c r="D8" s="532" t="s">
        <v>288</v>
      </c>
      <c r="E8" s="533">
        <v>1.23</v>
      </c>
      <c r="F8" s="534">
        <f>([1]ЧТС!L30+[1]ЧТС!L29)/2</f>
        <v>61.795000000000002</v>
      </c>
      <c r="G8" s="535">
        <f>E8*F8</f>
        <v>76.007850000000005</v>
      </c>
      <c r="H8" s="473">
        <f>G8*$H$7</f>
        <v>16.721727000000001</v>
      </c>
      <c r="I8" s="473">
        <f>G8*I7</f>
        <v>40.405773060000001</v>
      </c>
      <c r="J8" s="473">
        <f>SUBTOTAL(9,G8:I8)</f>
        <v>133.13535006000001</v>
      </c>
      <c r="K8" s="473">
        <f>ROUND(J8*$K$7,2)</f>
        <v>13.31</v>
      </c>
      <c r="L8" s="474">
        <f>J8+K8</f>
        <v>146.44535006000001</v>
      </c>
      <c r="M8" s="536">
        <f>L8*$M$7</f>
        <v>29.289070012000003</v>
      </c>
      <c r="N8" s="418">
        <f>M8+L8</f>
        <v>175.73442007200001</v>
      </c>
    </row>
    <row r="9" spans="1:14" s="458" customFormat="1" ht="30.6" thickBot="1">
      <c r="A9" s="537">
        <v>2</v>
      </c>
      <c r="B9" s="538" t="s">
        <v>289</v>
      </c>
      <c r="C9" s="539" t="s">
        <v>244</v>
      </c>
      <c r="D9" s="482" t="s">
        <v>244</v>
      </c>
      <c r="E9" s="485">
        <f>E8*0.8</f>
        <v>0.98399999999999999</v>
      </c>
      <c r="F9" s="540">
        <f>([1]ЧТС!$L$30+[1]ЧТС!$L$29)/2</f>
        <v>61.795000000000002</v>
      </c>
      <c r="G9" s="541">
        <f>E9*F9</f>
        <v>60.806280000000001</v>
      </c>
      <c r="H9" s="485">
        <f>G9*$H$7</f>
        <v>13.3773816</v>
      </c>
      <c r="I9" s="485">
        <f>G9*I7</f>
        <v>32.324618447999995</v>
      </c>
      <c r="J9" s="485">
        <f>SUBTOTAL(9,G9:I1402)</f>
        <v>106.50828004799999</v>
      </c>
      <c r="K9" s="485">
        <f>ROUND(J9*$K$7,2)</f>
        <v>10.65</v>
      </c>
      <c r="L9" s="542">
        <f>J9+K9</f>
        <v>117.15828004799999</v>
      </c>
      <c r="M9" s="543">
        <f>L9*$M$7</f>
        <v>23.431656009600001</v>
      </c>
      <c r="N9" s="440">
        <f>M9+L9</f>
        <v>140.5899360576</v>
      </c>
    </row>
    <row r="10" spans="1:14">
      <c r="A10" s="544"/>
      <c r="B10" s="383"/>
      <c r="C10" s="383"/>
      <c r="D10" s="383"/>
      <c r="E10" s="383"/>
      <c r="F10" s="545"/>
      <c r="G10" s="383"/>
      <c r="H10" s="383"/>
      <c r="I10" s="383"/>
      <c r="J10" s="188"/>
      <c r="K10" s="188"/>
      <c r="L10" s="188"/>
      <c r="M10" s="188"/>
      <c r="N10" s="188"/>
    </row>
    <row r="11" spans="1:14">
      <c r="A11" s="444"/>
      <c r="B11" s="384"/>
      <c r="C11" s="384"/>
      <c r="D11" s="384"/>
      <c r="E11" s="193"/>
      <c r="F11" s="346"/>
      <c r="G11" s="188"/>
      <c r="H11" s="188"/>
      <c r="I11" s="188"/>
      <c r="J11" s="188"/>
      <c r="K11" s="188"/>
      <c r="L11" s="188"/>
      <c r="M11" s="188"/>
      <c r="N11" s="188"/>
    </row>
    <row r="12" spans="1:14">
      <c r="A12" s="444"/>
      <c r="B12" s="384"/>
      <c r="C12" s="384"/>
      <c r="D12" s="384"/>
      <c r="E12" s="193"/>
      <c r="F12" s="346"/>
      <c r="G12" s="188"/>
      <c r="H12" s="188"/>
      <c r="I12" s="188"/>
      <c r="J12" s="188"/>
      <c r="K12" s="188"/>
      <c r="L12" s="188"/>
      <c r="M12" s="188"/>
      <c r="N12" s="188"/>
    </row>
    <row r="13" spans="1:14">
      <c r="A13" s="444"/>
      <c r="B13" s="384"/>
      <c r="C13" s="384"/>
      <c r="D13" s="384"/>
      <c r="E13" s="193"/>
      <c r="F13" s="346"/>
      <c r="G13" s="188"/>
      <c r="H13" s="188"/>
      <c r="I13" s="188"/>
      <c r="J13" s="188"/>
      <c r="K13" s="188"/>
      <c r="L13" s="188"/>
      <c r="M13" s="188"/>
      <c r="N13" s="188"/>
    </row>
    <row r="14" spans="1:14">
      <c r="A14" s="444"/>
      <c r="B14" s="384"/>
      <c r="C14" s="384"/>
      <c r="D14" s="384"/>
      <c r="E14" s="193"/>
      <c r="F14" s="346"/>
      <c r="G14" s="188"/>
      <c r="H14" s="188"/>
      <c r="I14" s="188"/>
      <c r="J14" s="188"/>
      <c r="K14" s="188"/>
      <c r="L14" s="188"/>
      <c r="M14" s="188"/>
      <c r="N14" s="188"/>
    </row>
    <row r="15" spans="1:14">
      <c r="A15" s="444"/>
      <c r="B15" s="384"/>
      <c r="C15" s="384"/>
      <c r="D15" s="384"/>
      <c r="E15" s="193"/>
      <c r="F15" s="346"/>
      <c r="G15" s="188"/>
      <c r="H15" s="188"/>
      <c r="I15" s="188"/>
      <c r="J15" s="188"/>
      <c r="K15" s="188"/>
      <c r="L15" s="188"/>
      <c r="M15" s="188"/>
      <c r="N15" s="188"/>
    </row>
  </sheetData>
  <mergeCells count="2">
    <mergeCell ref="A2:N2"/>
    <mergeCell ref="A3:N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
  <sheetViews>
    <sheetView zoomScale="70" zoomScaleNormal="70" workbookViewId="0">
      <selection activeCell="K31" sqref="K31"/>
    </sheetView>
  </sheetViews>
  <sheetFormatPr defaultRowHeight="13.15"/>
  <cols>
    <col min="1" max="1" width="6.140625" style="493" customWidth="1"/>
    <col min="2" max="2" width="60.5703125" style="85" customWidth="1"/>
    <col min="3" max="3" width="21.85546875" style="85" customWidth="1"/>
    <col min="4" max="4" width="22" style="48" customWidth="1"/>
    <col min="5" max="5" width="16.28515625" style="48" customWidth="1"/>
    <col min="6" max="6" width="14" style="48" customWidth="1"/>
    <col min="7" max="7" width="14.140625" style="48" customWidth="1"/>
    <col min="8" max="8" width="18.7109375" style="48" customWidth="1"/>
    <col min="9" max="9" width="15.28515625" style="48" customWidth="1"/>
    <col min="10" max="10" width="18" style="48" customWidth="1"/>
    <col min="11" max="11" width="22.28515625" style="48" customWidth="1"/>
    <col min="12" max="12" width="21.28515625" style="48" customWidth="1"/>
    <col min="13" max="13" width="15" style="48" customWidth="1"/>
    <col min="14" max="14" width="22.5703125" style="48" customWidth="1"/>
    <col min="245" max="245" width="6.140625" customWidth="1"/>
    <col min="246" max="246" width="29.85546875" customWidth="1"/>
    <col min="247" max="247" width="19.28515625" customWidth="1"/>
    <col min="248" max="248" width="19.42578125" customWidth="1"/>
    <col min="249" max="249" width="16.85546875" customWidth="1"/>
    <col min="250" max="250" width="14.5703125" customWidth="1"/>
    <col min="251" max="251" width="13.7109375" customWidth="1"/>
    <col min="252" max="252" width="18.7109375" customWidth="1"/>
    <col min="253" max="253" width="12" customWidth="1"/>
    <col min="254" max="254" width="17.5703125" customWidth="1"/>
    <col min="255" max="255" width="21.140625" customWidth="1"/>
    <col min="256" max="256" width="18.85546875" customWidth="1"/>
    <col min="257" max="257" width="11.5703125" customWidth="1"/>
    <col min="258" max="258" width="22.42578125" customWidth="1"/>
    <col min="259" max="259" width="11.85546875" customWidth="1"/>
    <col min="260" max="260" width="9.5703125" customWidth="1"/>
    <col min="261" max="263" width="9.42578125" customWidth="1"/>
    <col min="264" max="266" width="0" hidden="1" customWidth="1"/>
    <col min="501" max="501" width="6.140625" customWidth="1"/>
    <col min="502" max="502" width="29.85546875" customWidth="1"/>
    <col min="503" max="503" width="19.28515625" customWidth="1"/>
    <col min="504" max="504" width="19.42578125" customWidth="1"/>
    <col min="505" max="505" width="16.85546875" customWidth="1"/>
    <col min="506" max="506" width="14.5703125" customWidth="1"/>
    <col min="507" max="507" width="13.7109375" customWidth="1"/>
    <col min="508" max="508" width="18.7109375" customWidth="1"/>
    <col min="509" max="509" width="12" customWidth="1"/>
    <col min="510" max="510" width="17.5703125" customWidth="1"/>
    <col min="511" max="511" width="21.140625" customWidth="1"/>
    <col min="512" max="512" width="18.85546875" customWidth="1"/>
    <col min="513" max="513" width="11.5703125" customWidth="1"/>
    <col min="514" max="514" width="22.42578125" customWidth="1"/>
    <col min="515" max="515" width="11.85546875" customWidth="1"/>
    <col min="516" max="516" width="9.5703125" customWidth="1"/>
    <col min="517" max="519" width="9.42578125" customWidth="1"/>
    <col min="520" max="522" width="0" hidden="1" customWidth="1"/>
    <col min="757" max="757" width="6.140625" customWidth="1"/>
    <col min="758" max="758" width="29.85546875" customWidth="1"/>
    <col min="759" max="759" width="19.28515625" customWidth="1"/>
    <col min="760" max="760" width="19.42578125" customWidth="1"/>
    <col min="761" max="761" width="16.85546875" customWidth="1"/>
    <col min="762" max="762" width="14.5703125" customWidth="1"/>
    <col min="763" max="763" width="13.7109375" customWidth="1"/>
    <col min="764" max="764" width="18.7109375" customWidth="1"/>
    <col min="765" max="765" width="12" customWidth="1"/>
    <col min="766" max="766" width="17.5703125" customWidth="1"/>
    <col min="767" max="767" width="21.140625" customWidth="1"/>
    <col min="768" max="768" width="18.85546875" customWidth="1"/>
    <col min="769" max="769" width="11.5703125" customWidth="1"/>
    <col min="770" max="770" width="22.42578125" customWidth="1"/>
    <col min="771" max="771" width="11.85546875" customWidth="1"/>
    <col min="772" max="772" width="9.5703125" customWidth="1"/>
    <col min="773" max="775" width="9.42578125" customWidth="1"/>
    <col min="776" max="778" width="0" hidden="1" customWidth="1"/>
    <col min="1013" max="1013" width="6.140625" customWidth="1"/>
    <col min="1014" max="1014" width="29.85546875" customWidth="1"/>
    <col min="1015" max="1015" width="19.28515625" customWidth="1"/>
    <col min="1016" max="1016" width="19.42578125" customWidth="1"/>
    <col min="1017" max="1017" width="16.85546875" customWidth="1"/>
    <col min="1018" max="1018" width="14.5703125" customWidth="1"/>
    <col min="1019" max="1019" width="13.7109375" customWidth="1"/>
    <col min="1020" max="1020" width="18.7109375" customWidth="1"/>
    <col min="1021" max="1021" width="12" customWidth="1"/>
    <col min="1022" max="1022" width="17.5703125" customWidth="1"/>
    <col min="1023" max="1023" width="21.140625" customWidth="1"/>
    <col min="1024" max="1024" width="18.85546875" customWidth="1"/>
    <col min="1025" max="1025" width="11.5703125" customWidth="1"/>
    <col min="1026" max="1026" width="22.42578125" customWidth="1"/>
    <col min="1027" max="1027" width="11.85546875" customWidth="1"/>
    <col min="1028" max="1028" width="9.5703125" customWidth="1"/>
    <col min="1029" max="1031" width="9.42578125" customWidth="1"/>
    <col min="1032" max="1034" width="0" hidden="1" customWidth="1"/>
    <col min="1269" max="1269" width="6.140625" customWidth="1"/>
    <col min="1270" max="1270" width="29.85546875" customWidth="1"/>
    <col min="1271" max="1271" width="19.28515625" customWidth="1"/>
    <col min="1272" max="1272" width="19.42578125" customWidth="1"/>
    <col min="1273" max="1273" width="16.85546875" customWidth="1"/>
    <col min="1274" max="1274" width="14.5703125" customWidth="1"/>
    <col min="1275" max="1275" width="13.7109375" customWidth="1"/>
    <col min="1276" max="1276" width="18.7109375" customWidth="1"/>
    <col min="1277" max="1277" width="12" customWidth="1"/>
    <col min="1278" max="1278" width="17.5703125" customWidth="1"/>
    <col min="1279" max="1279" width="21.140625" customWidth="1"/>
    <col min="1280" max="1280" width="18.85546875" customWidth="1"/>
    <col min="1281" max="1281" width="11.5703125" customWidth="1"/>
    <col min="1282" max="1282" width="22.42578125" customWidth="1"/>
    <col min="1283" max="1283" width="11.85546875" customWidth="1"/>
    <col min="1284" max="1284" width="9.5703125" customWidth="1"/>
    <col min="1285" max="1287" width="9.42578125" customWidth="1"/>
    <col min="1288" max="1290" width="0" hidden="1" customWidth="1"/>
    <col min="1525" max="1525" width="6.140625" customWidth="1"/>
    <col min="1526" max="1526" width="29.85546875" customWidth="1"/>
    <col min="1527" max="1527" width="19.28515625" customWidth="1"/>
    <col min="1528" max="1528" width="19.42578125" customWidth="1"/>
    <col min="1529" max="1529" width="16.85546875" customWidth="1"/>
    <col min="1530" max="1530" width="14.5703125" customWidth="1"/>
    <col min="1531" max="1531" width="13.7109375" customWidth="1"/>
    <col min="1532" max="1532" width="18.7109375" customWidth="1"/>
    <col min="1533" max="1533" width="12" customWidth="1"/>
    <col min="1534" max="1534" width="17.5703125" customWidth="1"/>
    <col min="1535" max="1535" width="21.140625" customWidth="1"/>
    <col min="1536" max="1536" width="18.85546875" customWidth="1"/>
    <col min="1537" max="1537" width="11.5703125" customWidth="1"/>
    <col min="1538" max="1538" width="22.42578125" customWidth="1"/>
    <col min="1539" max="1539" width="11.85546875" customWidth="1"/>
    <col min="1540" max="1540" width="9.5703125" customWidth="1"/>
    <col min="1541" max="1543" width="9.42578125" customWidth="1"/>
    <col min="1544" max="1546" width="0" hidden="1" customWidth="1"/>
    <col min="1781" max="1781" width="6.140625" customWidth="1"/>
    <col min="1782" max="1782" width="29.85546875" customWidth="1"/>
    <col min="1783" max="1783" width="19.28515625" customWidth="1"/>
    <col min="1784" max="1784" width="19.42578125" customWidth="1"/>
    <col min="1785" max="1785" width="16.85546875" customWidth="1"/>
    <col min="1786" max="1786" width="14.5703125" customWidth="1"/>
    <col min="1787" max="1787" width="13.7109375" customWidth="1"/>
    <col min="1788" max="1788" width="18.7109375" customWidth="1"/>
    <col min="1789" max="1789" width="12" customWidth="1"/>
    <col min="1790" max="1790" width="17.5703125" customWidth="1"/>
    <col min="1791" max="1791" width="21.140625" customWidth="1"/>
    <col min="1792" max="1792" width="18.85546875" customWidth="1"/>
    <col min="1793" max="1793" width="11.5703125" customWidth="1"/>
    <col min="1794" max="1794" width="22.42578125" customWidth="1"/>
    <col min="1795" max="1795" width="11.85546875" customWidth="1"/>
    <col min="1796" max="1796" width="9.5703125" customWidth="1"/>
    <col min="1797" max="1799" width="9.42578125" customWidth="1"/>
    <col min="1800" max="1802" width="0" hidden="1" customWidth="1"/>
    <col min="2037" max="2037" width="6.140625" customWidth="1"/>
    <col min="2038" max="2038" width="29.85546875" customWidth="1"/>
    <col min="2039" max="2039" width="19.28515625" customWidth="1"/>
    <col min="2040" max="2040" width="19.42578125" customWidth="1"/>
    <col min="2041" max="2041" width="16.85546875" customWidth="1"/>
    <col min="2042" max="2042" width="14.5703125" customWidth="1"/>
    <col min="2043" max="2043" width="13.7109375" customWidth="1"/>
    <col min="2044" max="2044" width="18.7109375" customWidth="1"/>
    <col min="2045" max="2045" width="12" customWidth="1"/>
    <col min="2046" max="2046" width="17.5703125" customWidth="1"/>
    <col min="2047" max="2047" width="21.140625" customWidth="1"/>
    <col min="2048" max="2048" width="18.85546875" customWidth="1"/>
    <col min="2049" max="2049" width="11.5703125" customWidth="1"/>
    <col min="2050" max="2050" width="22.42578125" customWidth="1"/>
    <col min="2051" max="2051" width="11.85546875" customWidth="1"/>
    <col min="2052" max="2052" width="9.5703125" customWidth="1"/>
    <col min="2053" max="2055" width="9.42578125" customWidth="1"/>
    <col min="2056" max="2058" width="0" hidden="1" customWidth="1"/>
    <col min="2293" max="2293" width="6.140625" customWidth="1"/>
    <col min="2294" max="2294" width="29.85546875" customWidth="1"/>
    <col min="2295" max="2295" width="19.28515625" customWidth="1"/>
    <col min="2296" max="2296" width="19.42578125" customWidth="1"/>
    <col min="2297" max="2297" width="16.85546875" customWidth="1"/>
    <col min="2298" max="2298" width="14.5703125" customWidth="1"/>
    <col min="2299" max="2299" width="13.7109375" customWidth="1"/>
    <col min="2300" max="2300" width="18.7109375" customWidth="1"/>
    <col min="2301" max="2301" width="12" customWidth="1"/>
    <col min="2302" max="2302" width="17.5703125" customWidth="1"/>
    <col min="2303" max="2303" width="21.140625" customWidth="1"/>
    <col min="2304" max="2304" width="18.85546875" customWidth="1"/>
    <col min="2305" max="2305" width="11.5703125" customWidth="1"/>
    <col min="2306" max="2306" width="22.42578125" customWidth="1"/>
    <col min="2307" max="2307" width="11.85546875" customWidth="1"/>
    <col min="2308" max="2308" width="9.5703125" customWidth="1"/>
    <col min="2309" max="2311" width="9.42578125" customWidth="1"/>
    <col min="2312" max="2314" width="0" hidden="1" customWidth="1"/>
    <col min="2549" max="2549" width="6.140625" customWidth="1"/>
    <col min="2550" max="2550" width="29.85546875" customWidth="1"/>
    <col min="2551" max="2551" width="19.28515625" customWidth="1"/>
    <col min="2552" max="2552" width="19.42578125" customWidth="1"/>
    <col min="2553" max="2553" width="16.85546875" customWidth="1"/>
    <col min="2554" max="2554" width="14.5703125" customWidth="1"/>
    <col min="2555" max="2555" width="13.7109375" customWidth="1"/>
    <col min="2556" max="2556" width="18.7109375" customWidth="1"/>
    <col min="2557" max="2557" width="12" customWidth="1"/>
    <col min="2558" max="2558" width="17.5703125" customWidth="1"/>
    <col min="2559" max="2559" width="21.140625" customWidth="1"/>
    <col min="2560" max="2560" width="18.85546875" customWidth="1"/>
    <col min="2561" max="2561" width="11.5703125" customWidth="1"/>
    <col min="2562" max="2562" width="22.42578125" customWidth="1"/>
    <col min="2563" max="2563" width="11.85546875" customWidth="1"/>
    <col min="2564" max="2564" width="9.5703125" customWidth="1"/>
    <col min="2565" max="2567" width="9.42578125" customWidth="1"/>
    <col min="2568" max="2570" width="0" hidden="1" customWidth="1"/>
    <col min="2805" max="2805" width="6.140625" customWidth="1"/>
    <col min="2806" max="2806" width="29.85546875" customWidth="1"/>
    <col min="2807" max="2807" width="19.28515625" customWidth="1"/>
    <col min="2808" max="2808" width="19.42578125" customWidth="1"/>
    <col min="2809" max="2809" width="16.85546875" customWidth="1"/>
    <col min="2810" max="2810" width="14.5703125" customWidth="1"/>
    <col min="2811" max="2811" width="13.7109375" customWidth="1"/>
    <col min="2812" max="2812" width="18.7109375" customWidth="1"/>
    <col min="2813" max="2813" width="12" customWidth="1"/>
    <col min="2814" max="2814" width="17.5703125" customWidth="1"/>
    <col min="2815" max="2815" width="21.140625" customWidth="1"/>
    <col min="2816" max="2816" width="18.85546875" customWidth="1"/>
    <col min="2817" max="2817" width="11.5703125" customWidth="1"/>
    <col min="2818" max="2818" width="22.42578125" customWidth="1"/>
    <col min="2819" max="2819" width="11.85546875" customWidth="1"/>
    <col min="2820" max="2820" width="9.5703125" customWidth="1"/>
    <col min="2821" max="2823" width="9.42578125" customWidth="1"/>
    <col min="2824" max="2826" width="0" hidden="1" customWidth="1"/>
    <col min="3061" max="3061" width="6.140625" customWidth="1"/>
    <col min="3062" max="3062" width="29.85546875" customWidth="1"/>
    <col min="3063" max="3063" width="19.28515625" customWidth="1"/>
    <col min="3064" max="3064" width="19.42578125" customWidth="1"/>
    <col min="3065" max="3065" width="16.85546875" customWidth="1"/>
    <col min="3066" max="3066" width="14.5703125" customWidth="1"/>
    <col min="3067" max="3067" width="13.7109375" customWidth="1"/>
    <col min="3068" max="3068" width="18.7109375" customWidth="1"/>
    <col min="3069" max="3069" width="12" customWidth="1"/>
    <col min="3070" max="3070" width="17.5703125" customWidth="1"/>
    <col min="3071" max="3071" width="21.140625" customWidth="1"/>
    <col min="3072" max="3072" width="18.85546875" customWidth="1"/>
    <col min="3073" max="3073" width="11.5703125" customWidth="1"/>
    <col min="3074" max="3074" width="22.42578125" customWidth="1"/>
    <col min="3075" max="3075" width="11.85546875" customWidth="1"/>
    <col min="3076" max="3076" width="9.5703125" customWidth="1"/>
    <col min="3077" max="3079" width="9.42578125" customWidth="1"/>
    <col min="3080" max="3082" width="0" hidden="1" customWidth="1"/>
    <col min="3317" max="3317" width="6.140625" customWidth="1"/>
    <col min="3318" max="3318" width="29.85546875" customWidth="1"/>
    <col min="3319" max="3319" width="19.28515625" customWidth="1"/>
    <col min="3320" max="3320" width="19.42578125" customWidth="1"/>
    <col min="3321" max="3321" width="16.85546875" customWidth="1"/>
    <col min="3322" max="3322" width="14.5703125" customWidth="1"/>
    <col min="3323" max="3323" width="13.7109375" customWidth="1"/>
    <col min="3324" max="3324" width="18.7109375" customWidth="1"/>
    <col min="3325" max="3325" width="12" customWidth="1"/>
    <col min="3326" max="3326" width="17.5703125" customWidth="1"/>
    <col min="3327" max="3327" width="21.140625" customWidth="1"/>
    <col min="3328" max="3328" width="18.85546875" customWidth="1"/>
    <col min="3329" max="3329" width="11.5703125" customWidth="1"/>
    <col min="3330" max="3330" width="22.42578125" customWidth="1"/>
    <col min="3331" max="3331" width="11.85546875" customWidth="1"/>
    <col min="3332" max="3332" width="9.5703125" customWidth="1"/>
    <col min="3333" max="3335" width="9.42578125" customWidth="1"/>
    <col min="3336" max="3338" width="0" hidden="1" customWidth="1"/>
    <col min="3573" max="3573" width="6.140625" customWidth="1"/>
    <col min="3574" max="3574" width="29.85546875" customWidth="1"/>
    <col min="3575" max="3575" width="19.28515625" customWidth="1"/>
    <col min="3576" max="3576" width="19.42578125" customWidth="1"/>
    <col min="3577" max="3577" width="16.85546875" customWidth="1"/>
    <col min="3578" max="3578" width="14.5703125" customWidth="1"/>
    <col min="3579" max="3579" width="13.7109375" customWidth="1"/>
    <col min="3580" max="3580" width="18.7109375" customWidth="1"/>
    <col min="3581" max="3581" width="12" customWidth="1"/>
    <col min="3582" max="3582" width="17.5703125" customWidth="1"/>
    <col min="3583" max="3583" width="21.140625" customWidth="1"/>
    <col min="3584" max="3584" width="18.85546875" customWidth="1"/>
    <col min="3585" max="3585" width="11.5703125" customWidth="1"/>
    <col min="3586" max="3586" width="22.42578125" customWidth="1"/>
    <col min="3587" max="3587" width="11.85546875" customWidth="1"/>
    <col min="3588" max="3588" width="9.5703125" customWidth="1"/>
    <col min="3589" max="3591" width="9.42578125" customWidth="1"/>
    <col min="3592" max="3594" width="0" hidden="1" customWidth="1"/>
    <col min="3829" max="3829" width="6.140625" customWidth="1"/>
    <col min="3830" max="3830" width="29.85546875" customWidth="1"/>
    <col min="3831" max="3831" width="19.28515625" customWidth="1"/>
    <col min="3832" max="3832" width="19.42578125" customWidth="1"/>
    <col min="3833" max="3833" width="16.85546875" customWidth="1"/>
    <col min="3834" max="3834" width="14.5703125" customWidth="1"/>
    <col min="3835" max="3835" width="13.7109375" customWidth="1"/>
    <col min="3836" max="3836" width="18.7109375" customWidth="1"/>
    <col min="3837" max="3837" width="12" customWidth="1"/>
    <col min="3838" max="3838" width="17.5703125" customWidth="1"/>
    <col min="3839" max="3839" width="21.140625" customWidth="1"/>
    <col min="3840" max="3840" width="18.85546875" customWidth="1"/>
    <col min="3841" max="3841" width="11.5703125" customWidth="1"/>
    <col min="3842" max="3842" width="22.42578125" customWidth="1"/>
    <col min="3843" max="3843" width="11.85546875" customWidth="1"/>
    <col min="3844" max="3844" width="9.5703125" customWidth="1"/>
    <col min="3845" max="3847" width="9.42578125" customWidth="1"/>
    <col min="3848" max="3850" width="0" hidden="1" customWidth="1"/>
    <col min="4085" max="4085" width="6.140625" customWidth="1"/>
    <col min="4086" max="4086" width="29.85546875" customWidth="1"/>
    <col min="4087" max="4087" width="19.28515625" customWidth="1"/>
    <col min="4088" max="4088" width="19.42578125" customWidth="1"/>
    <col min="4089" max="4089" width="16.85546875" customWidth="1"/>
    <col min="4090" max="4090" width="14.5703125" customWidth="1"/>
    <col min="4091" max="4091" width="13.7109375" customWidth="1"/>
    <col min="4092" max="4092" width="18.7109375" customWidth="1"/>
    <col min="4093" max="4093" width="12" customWidth="1"/>
    <col min="4094" max="4094" width="17.5703125" customWidth="1"/>
    <col min="4095" max="4095" width="21.140625" customWidth="1"/>
    <col min="4096" max="4096" width="18.85546875" customWidth="1"/>
    <col min="4097" max="4097" width="11.5703125" customWidth="1"/>
    <col min="4098" max="4098" width="22.42578125" customWidth="1"/>
    <col min="4099" max="4099" width="11.85546875" customWidth="1"/>
    <col min="4100" max="4100" width="9.5703125" customWidth="1"/>
    <col min="4101" max="4103" width="9.42578125" customWidth="1"/>
    <col min="4104" max="4106" width="0" hidden="1" customWidth="1"/>
    <col min="4341" max="4341" width="6.140625" customWidth="1"/>
    <col min="4342" max="4342" width="29.85546875" customWidth="1"/>
    <col min="4343" max="4343" width="19.28515625" customWidth="1"/>
    <col min="4344" max="4344" width="19.42578125" customWidth="1"/>
    <col min="4345" max="4345" width="16.85546875" customWidth="1"/>
    <col min="4346" max="4346" width="14.5703125" customWidth="1"/>
    <col min="4347" max="4347" width="13.7109375" customWidth="1"/>
    <col min="4348" max="4348" width="18.7109375" customWidth="1"/>
    <col min="4349" max="4349" width="12" customWidth="1"/>
    <col min="4350" max="4350" width="17.5703125" customWidth="1"/>
    <col min="4351" max="4351" width="21.140625" customWidth="1"/>
    <col min="4352" max="4352" width="18.85546875" customWidth="1"/>
    <col min="4353" max="4353" width="11.5703125" customWidth="1"/>
    <col min="4354" max="4354" width="22.42578125" customWidth="1"/>
    <col min="4355" max="4355" width="11.85546875" customWidth="1"/>
    <col min="4356" max="4356" width="9.5703125" customWidth="1"/>
    <col min="4357" max="4359" width="9.42578125" customWidth="1"/>
    <col min="4360" max="4362" width="0" hidden="1" customWidth="1"/>
    <col min="4597" max="4597" width="6.140625" customWidth="1"/>
    <col min="4598" max="4598" width="29.85546875" customWidth="1"/>
    <col min="4599" max="4599" width="19.28515625" customWidth="1"/>
    <col min="4600" max="4600" width="19.42578125" customWidth="1"/>
    <col min="4601" max="4601" width="16.85546875" customWidth="1"/>
    <col min="4602" max="4602" width="14.5703125" customWidth="1"/>
    <col min="4603" max="4603" width="13.7109375" customWidth="1"/>
    <col min="4604" max="4604" width="18.7109375" customWidth="1"/>
    <col min="4605" max="4605" width="12" customWidth="1"/>
    <col min="4606" max="4606" width="17.5703125" customWidth="1"/>
    <col min="4607" max="4607" width="21.140625" customWidth="1"/>
    <col min="4608" max="4608" width="18.85546875" customWidth="1"/>
    <col min="4609" max="4609" width="11.5703125" customWidth="1"/>
    <col min="4610" max="4610" width="22.42578125" customWidth="1"/>
    <col min="4611" max="4611" width="11.85546875" customWidth="1"/>
    <col min="4612" max="4612" width="9.5703125" customWidth="1"/>
    <col min="4613" max="4615" width="9.42578125" customWidth="1"/>
    <col min="4616" max="4618" width="0" hidden="1" customWidth="1"/>
    <col min="4853" max="4853" width="6.140625" customWidth="1"/>
    <col min="4854" max="4854" width="29.85546875" customWidth="1"/>
    <col min="4855" max="4855" width="19.28515625" customWidth="1"/>
    <col min="4856" max="4856" width="19.42578125" customWidth="1"/>
    <col min="4857" max="4857" width="16.85546875" customWidth="1"/>
    <col min="4858" max="4858" width="14.5703125" customWidth="1"/>
    <col min="4859" max="4859" width="13.7109375" customWidth="1"/>
    <col min="4860" max="4860" width="18.7109375" customWidth="1"/>
    <col min="4861" max="4861" width="12" customWidth="1"/>
    <col min="4862" max="4862" width="17.5703125" customWidth="1"/>
    <col min="4863" max="4863" width="21.140625" customWidth="1"/>
    <col min="4864" max="4864" width="18.85546875" customWidth="1"/>
    <col min="4865" max="4865" width="11.5703125" customWidth="1"/>
    <col min="4866" max="4866" width="22.42578125" customWidth="1"/>
    <col min="4867" max="4867" width="11.85546875" customWidth="1"/>
    <col min="4868" max="4868" width="9.5703125" customWidth="1"/>
    <col min="4869" max="4871" width="9.42578125" customWidth="1"/>
    <col min="4872" max="4874" width="0" hidden="1" customWidth="1"/>
    <col min="5109" max="5109" width="6.140625" customWidth="1"/>
    <col min="5110" max="5110" width="29.85546875" customWidth="1"/>
    <col min="5111" max="5111" width="19.28515625" customWidth="1"/>
    <col min="5112" max="5112" width="19.42578125" customWidth="1"/>
    <col min="5113" max="5113" width="16.85546875" customWidth="1"/>
    <col min="5114" max="5114" width="14.5703125" customWidth="1"/>
    <col min="5115" max="5115" width="13.7109375" customWidth="1"/>
    <col min="5116" max="5116" width="18.7109375" customWidth="1"/>
    <col min="5117" max="5117" width="12" customWidth="1"/>
    <col min="5118" max="5118" width="17.5703125" customWidth="1"/>
    <col min="5119" max="5119" width="21.140625" customWidth="1"/>
    <col min="5120" max="5120" width="18.85546875" customWidth="1"/>
    <col min="5121" max="5121" width="11.5703125" customWidth="1"/>
    <col min="5122" max="5122" width="22.42578125" customWidth="1"/>
    <col min="5123" max="5123" width="11.85546875" customWidth="1"/>
    <col min="5124" max="5124" width="9.5703125" customWidth="1"/>
    <col min="5125" max="5127" width="9.42578125" customWidth="1"/>
    <col min="5128" max="5130" width="0" hidden="1" customWidth="1"/>
    <col min="5365" max="5365" width="6.140625" customWidth="1"/>
    <col min="5366" max="5366" width="29.85546875" customWidth="1"/>
    <col min="5367" max="5367" width="19.28515625" customWidth="1"/>
    <col min="5368" max="5368" width="19.42578125" customWidth="1"/>
    <col min="5369" max="5369" width="16.85546875" customWidth="1"/>
    <col min="5370" max="5370" width="14.5703125" customWidth="1"/>
    <col min="5371" max="5371" width="13.7109375" customWidth="1"/>
    <col min="5372" max="5372" width="18.7109375" customWidth="1"/>
    <col min="5373" max="5373" width="12" customWidth="1"/>
    <col min="5374" max="5374" width="17.5703125" customWidth="1"/>
    <col min="5375" max="5375" width="21.140625" customWidth="1"/>
    <col min="5376" max="5376" width="18.85546875" customWidth="1"/>
    <col min="5377" max="5377" width="11.5703125" customWidth="1"/>
    <col min="5378" max="5378" width="22.42578125" customWidth="1"/>
    <col min="5379" max="5379" width="11.85546875" customWidth="1"/>
    <col min="5380" max="5380" width="9.5703125" customWidth="1"/>
    <col min="5381" max="5383" width="9.42578125" customWidth="1"/>
    <col min="5384" max="5386" width="0" hidden="1" customWidth="1"/>
    <col min="5621" max="5621" width="6.140625" customWidth="1"/>
    <col min="5622" max="5622" width="29.85546875" customWidth="1"/>
    <col min="5623" max="5623" width="19.28515625" customWidth="1"/>
    <col min="5624" max="5624" width="19.42578125" customWidth="1"/>
    <col min="5625" max="5625" width="16.85546875" customWidth="1"/>
    <col min="5626" max="5626" width="14.5703125" customWidth="1"/>
    <col min="5627" max="5627" width="13.7109375" customWidth="1"/>
    <col min="5628" max="5628" width="18.7109375" customWidth="1"/>
    <col min="5629" max="5629" width="12" customWidth="1"/>
    <col min="5630" max="5630" width="17.5703125" customWidth="1"/>
    <col min="5631" max="5631" width="21.140625" customWidth="1"/>
    <col min="5632" max="5632" width="18.85546875" customWidth="1"/>
    <col min="5633" max="5633" width="11.5703125" customWidth="1"/>
    <col min="5634" max="5634" width="22.42578125" customWidth="1"/>
    <col min="5635" max="5635" width="11.85546875" customWidth="1"/>
    <col min="5636" max="5636" width="9.5703125" customWidth="1"/>
    <col min="5637" max="5639" width="9.42578125" customWidth="1"/>
    <col min="5640" max="5642" width="0" hidden="1" customWidth="1"/>
    <col min="5877" max="5877" width="6.140625" customWidth="1"/>
    <col min="5878" max="5878" width="29.85546875" customWidth="1"/>
    <col min="5879" max="5879" width="19.28515625" customWidth="1"/>
    <col min="5880" max="5880" width="19.42578125" customWidth="1"/>
    <col min="5881" max="5881" width="16.85546875" customWidth="1"/>
    <col min="5882" max="5882" width="14.5703125" customWidth="1"/>
    <col min="5883" max="5883" width="13.7109375" customWidth="1"/>
    <col min="5884" max="5884" width="18.7109375" customWidth="1"/>
    <col min="5885" max="5885" width="12" customWidth="1"/>
    <col min="5886" max="5886" width="17.5703125" customWidth="1"/>
    <col min="5887" max="5887" width="21.140625" customWidth="1"/>
    <col min="5888" max="5888" width="18.85546875" customWidth="1"/>
    <col min="5889" max="5889" width="11.5703125" customWidth="1"/>
    <col min="5890" max="5890" width="22.42578125" customWidth="1"/>
    <col min="5891" max="5891" width="11.85546875" customWidth="1"/>
    <col min="5892" max="5892" width="9.5703125" customWidth="1"/>
    <col min="5893" max="5895" width="9.42578125" customWidth="1"/>
    <col min="5896" max="5898" width="0" hidden="1" customWidth="1"/>
    <col min="6133" max="6133" width="6.140625" customWidth="1"/>
    <col min="6134" max="6134" width="29.85546875" customWidth="1"/>
    <col min="6135" max="6135" width="19.28515625" customWidth="1"/>
    <col min="6136" max="6136" width="19.42578125" customWidth="1"/>
    <col min="6137" max="6137" width="16.85546875" customWidth="1"/>
    <col min="6138" max="6138" width="14.5703125" customWidth="1"/>
    <col min="6139" max="6139" width="13.7109375" customWidth="1"/>
    <col min="6140" max="6140" width="18.7109375" customWidth="1"/>
    <col min="6141" max="6141" width="12" customWidth="1"/>
    <col min="6142" max="6142" width="17.5703125" customWidth="1"/>
    <col min="6143" max="6143" width="21.140625" customWidth="1"/>
    <col min="6144" max="6144" width="18.85546875" customWidth="1"/>
    <col min="6145" max="6145" width="11.5703125" customWidth="1"/>
    <col min="6146" max="6146" width="22.42578125" customWidth="1"/>
    <col min="6147" max="6147" width="11.85546875" customWidth="1"/>
    <col min="6148" max="6148" width="9.5703125" customWidth="1"/>
    <col min="6149" max="6151" width="9.42578125" customWidth="1"/>
    <col min="6152" max="6154" width="0" hidden="1" customWidth="1"/>
    <col min="6389" max="6389" width="6.140625" customWidth="1"/>
    <col min="6390" max="6390" width="29.85546875" customWidth="1"/>
    <col min="6391" max="6391" width="19.28515625" customWidth="1"/>
    <col min="6392" max="6392" width="19.42578125" customWidth="1"/>
    <col min="6393" max="6393" width="16.85546875" customWidth="1"/>
    <col min="6394" max="6394" width="14.5703125" customWidth="1"/>
    <col min="6395" max="6395" width="13.7109375" customWidth="1"/>
    <col min="6396" max="6396" width="18.7109375" customWidth="1"/>
    <col min="6397" max="6397" width="12" customWidth="1"/>
    <col min="6398" max="6398" width="17.5703125" customWidth="1"/>
    <col min="6399" max="6399" width="21.140625" customWidth="1"/>
    <col min="6400" max="6400" width="18.85546875" customWidth="1"/>
    <col min="6401" max="6401" width="11.5703125" customWidth="1"/>
    <col min="6402" max="6402" width="22.42578125" customWidth="1"/>
    <col min="6403" max="6403" width="11.85546875" customWidth="1"/>
    <col min="6404" max="6404" width="9.5703125" customWidth="1"/>
    <col min="6405" max="6407" width="9.42578125" customWidth="1"/>
    <col min="6408" max="6410" width="0" hidden="1" customWidth="1"/>
    <col min="6645" max="6645" width="6.140625" customWidth="1"/>
    <col min="6646" max="6646" width="29.85546875" customWidth="1"/>
    <col min="6647" max="6647" width="19.28515625" customWidth="1"/>
    <col min="6648" max="6648" width="19.42578125" customWidth="1"/>
    <col min="6649" max="6649" width="16.85546875" customWidth="1"/>
    <col min="6650" max="6650" width="14.5703125" customWidth="1"/>
    <col min="6651" max="6651" width="13.7109375" customWidth="1"/>
    <col min="6652" max="6652" width="18.7109375" customWidth="1"/>
    <col min="6653" max="6653" width="12" customWidth="1"/>
    <col min="6654" max="6654" width="17.5703125" customWidth="1"/>
    <col min="6655" max="6655" width="21.140625" customWidth="1"/>
    <col min="6656" max="6656" width="18.85546875" customWidth="1"/>
    <col min="6657" max="6657" width="11.5703125" customWidth="1"/>
    <col min="6658" max="6658" width="22.42578125" customWidth="1"/>
    <col min="6659" max="6659" width="11.85546875" customWidth="1"/>
    <col min="6660" max="6660" width="9.5703125" customWidth="1"/>
    <col min="6661" max="6663" width="9.42578125" customWidth="1"/>
    <col min="6664" max="6666" width="0" hidden="1" customWidth="1"/>
    <col min="6901" max="6901" width="6.140625" customWidth="1"/>
    <col min="6902" max="6902" width="29.85546875" customWidth="1"/>
    <col min="6903" max="6903" width="19.28515625" customWidth="1"/>
    <col min="6904" max="6904" width="19.42578125" customWidth="1"/>
    <col min="6905" max="6905" width="16.85546875" customWidth="1"/>
    <col min="6906" max="6906" width="14.5703125" customWidth="1"/>
    <col min="6907" max="6907" width="13.7109375" customWidth="1"/>
    <col min="6908" max="6908" width="18.7109375" customWidth="1"/>
    <col min="6909" max="6909" width="12" customWidth="1"/>
    <col min="6910" max="6910" width="17.5703125" customWidth="1"/>
    <col min="6911" max="6911" width="21.140625" customWidth="1"/>
    <col min="6912" max="6912" width="18.85546875" customWidth="1"/>
    <col min="6913" max="6913" width="11.5703125" customWidth="1"/>
    <col min="6914" max="6914" width="22.42578125" customWidth="1"/>
    <col min="6915" max="6915" width="11.85546875" customWidth="1"/>
    <col min="6916" max="6916" width="9.5703125" customWidth="1"/>
    <col min="6917" max="6919" width="9.42578125" customWidth="1"/>
    <col min="6920" max="6922" width="0" hidden="1" customWidth="1"/>
    <col min="7157" max="7157" width="6.140625" customWidth="1"/>
    <col min="7158" max="7158" width="29.85546875" customWidth="1"/>
    <col min="7159" max="7159" width="19.28515625" customWidth="1"/>
    <col min="7160" max="7160" width="19.42578125" customWidth="1"/>
    <col min="7161" max="7161" width="16.85546875" customWidth="1"/>
    <col min="7162" max="7162" width="14.5703125" customWidth="1"/>
    <col min="7163" max="7163" width="13.7109375" customWidth="1"/>
    <col min="7164" max="7164" width="18.7109375" customWidth="1"/>
    <col min="7165" max="7165" width="12" customWidth="1"/>
    <col min="7166" max="7166" width="17.5703125" customWidth="1"/>
    <col min="7167" max="7167" width="21.140625" customWidth="1"/>
    <col min="7168" max="7168" width="18.85546875" customWidth="1"/>
    <col min="7169" max="7169" width="11.5703125" customWidth="1"/>
    <col min="7170" max="7170" width="22.42578125" customWidth="1"/>
    <col min="7171" max="7171" width="11.85546875" customWidth="1"/>
    <col min="7172" max="7172" width="9.5703125" customWidth="1"/>
    <col min="7173" max="7175" width="9.42578125" customWidth="1"/>
    <col min="7176" max="7178" width="0" hidden="1" customWidth="1"/>
    <col min="7413" max="7413" width="6.140625" customWidth="1"/>
    <col min="7414" max="7414" width="29.85546875" customWidth="1"/>
    <col min="7415" max="7415" width="19.28515625" customWidth="1"/>
    <col min="7416" max="7416" width="19.42578125" customWidth="1"/>
    <col min="7417" max="7417" width="16.85546875" customWidth="1"/>
    <col min="7418" max="7418" width="14.5703125" customWidth="1"/>
    <col min="7419" max="7419" width="13.7109375" customWidth="1"/>
    <col min="7420" max="7420" width="18.7109375" customWidth="1"/>
    <col min="7421" max="7421" width="12" customWidth="1"/>
    <col min="7422" max="7422" width="17.5703125" customWidth="1"/>
    <col min="7423" max="7423" width="21.140625" customWidth="1"/>
    <col min="7424" max="7424" width="18.85546875" customWidth="1"/>
    <col min="7425" max="7425" width="11.5703125" customWidth="1"/>
    <col min="7426" max="7426" width="22.42578125" customWidth="1"/>
    <col min="7427" max="7427" width="11.85546875" customWidth="1"/>
    <col min="7428" max="7428" width="9.5703125" customWidth="1"/>
    <col min="7429" max="7431" width="9.42578125" customWidth="1"/>
    <col min="7432" max="7434" width="0" hidden="1" customWidth="1"/>
    <col min="7669" max="7669" width="6.140625" customWidth="1"/>
    <col min="7670" max="7670" width="29.85546875" customWidth="1"/>
    <col min="7671" max="7671" width="19.28515625" customWidth="1"/>
    <col min="7672" max="7672" width="19.42578125" customWidth="1"/>
    <col min="7673" max="7673" width="16.85546875" customWidth="1"/>
    <col min="7674" max="7674" width="14.5703125" customWidth="1"/>
    <col min="7675" max="7675" width="13.7109375" customWidth="1"/>
    <col min="7676" max="7676" width="18.7109375" customWidth="1"/>
    <col min="7677" max="7677" width="12" customWidth="1"/>
    <col min="7678" max="7678" width="17.5703125" customWidth="1"/>
    <col min="7679" max="7679" width="21.140625" customWidth="1"/>
    <col min="7680" max="7680" width="18.85546875" customWidth="1"/>
    <col min="7681" max="7681" width="11.5703125" customWidth="1"/>
    <col min="7682" max="7682" width="22.42578125" customWidth="1"/>
    <col min="7683" max="7683" width="11.85546875" customWidth="1"/>
    <col min="7684" max="7684" width="9.5703125" customWidth="1"/>
    <col min="7685" max="7687" width="9.42578125" customWidth="1"/>
    <col min="7688" max="7690" width="0" hidden="1" customWidth="1"/>
    <col min="7925" max="7925" width="6.140625" customWidth="1"/>
    <col min="7926" max="7926" width="29.85546875" customWidth="1"/>
    <col min="7927" max="7927" width="19.28515625" customWidth="1"/>
    <col min="7928" max="7928" width="19.42578125" customWidth="1"/>
    <col min="7929" max="7929" width="16.85546875" customWidth="1"/>
    <col min="7930" max="7930" width="14.5703125" customWidth="1"/>
    <col min="7931" max="7931" width="13.7109375" customWidth="1"/>
    <col min="7932" max="7932" width="18.7109375" customWidth="1"/>
    <col min="7933" max="7933" width="12" customWidth="1"/>
    <col min="7934" max="7934" width="17.5703125" customWidth="1"/>
    <col min="7935" max="7935" width="21.140625" customWidth="1"/>
    <col min="7936" max="7936" width="18.85546875" customWidth="1"/>
    <col min="7937" max="7937" width="11.5703125" customWidth="1"/>
    <col min="7938" max="7938" width="22.42578125" customWidth="1"/>
    <col min="7939" max="7939" width="11.85546875" customWidth="1"/>
    <col min="7940" max="7940" width="9.5703125" customWidth="1"/>
    <col min="7941" max="7943" width="9.42578125" customWidth="1"/>
    <col min="7944" max="7946" width="0" hidden="1" customWidth="1"/>
    <col min="8181" max="8181" width="6.140625" customWidth="1"/>
    <col min="8182" max="8182" width="29.85546875" customWidth="1"/>
    <col min="8183" max="8183" width="19.28515625" customWidth="1"/>
    <col min="8184" max="8184" width="19.42578125" customWidth="1"/>
    <col min="8185" max="8185" width="16.85546875" customWidth="1"/>
    <col min="8186" max="8186" width="14.5703125" customWidth="1"/>
    <col min="8187" max="8187" width="13.7109375" customWidth="1"/>
    <col min="8188" max="8188" width="18.7109375" customWidth="1"/>
    <col min="8189" max="8189" width="12" customWidth="1"/>
    <col min="8190" max="8190" width="17.5703125" customWidth="1"/>
    <col min="8191" max="8191" width="21.140625" customWidth="1"/>
    <col min="8192" max="8192" width="18.85546875" customWidth="1"/>
    <col min="8193" max="8193" width="11.5703125" customWidth="1"/>
    <col min="8194" max="8194" width="22.42578125" customWidth="1"/>
    <col min="8195" max="8195" width="11.85546875" customWidth="1"/>
    <col min="8196" max="8196" width="9.5703125" customWidth="1"/>
    <col min="8197" max="8199" width="9.42578125" customWidth="1"/>
    <col min="8200" max="8202" width="0" hidden="1" customWidth="1"/>
    <col min="8437" max="8437" width="6.140625" customWidth="1"/>
    <col min="8438" max="8438" width="29.85546875" customWidth="1"/>
    <col min="8439" max="8439" width="19.28515625" customWidth="1"/>
    <col min="8440" max="8440" width="19.42578125" customWidth="1"/>
    <col min="8441" max="8441" width="16.85546875" customWidth="1"/>
    <col min="8442" max="8442" width="14.5703125" customWidth="1"/>
    <col min="8443" max="8443" width="13.7109375" customWidth="1"/>
    <col min="8444" max="8444" width="18.7109375" customWidth="1"/>
    <col min="8445" max="8445" width="12" customWidth="1"/>
    <col min="8446" max="8446" width="17.5703125" customWidth="1"/>
    <col min="8447" max="8447" width="21.140625" customWidth="1"/>
    <col min="8448" max="8448" width="18.85546875" customWidth="1"/>
    <col min="8449" max="8449" width="11.5703125" customWidth="1"/>
    <col min="8450" max="8450" width="22.42578125" customWidth="1"/>
    <col min="8451" max="8451" width="11.85546875" customWidth="1"/>
    <col min="8452" max="8452" width="9.5703125" customWidth="1"/>
    <col min="8453" max="8455" width="9.42578125" customWidth="1"/>
    <col min="8456" max="8458" width="0" hidden="1" customWidth="1"/>
    <col min="8693" max="8693" width="6.140625" customWidth="1"/>
    <col min="8694" max="8694" width="29.85546875" customWidth="1"/>
    <col min="8695" max="8695" width="19.28515625" customWidth="1"/>
    <col min="8696" max="8696" width="19.42578125" customWidth="1"/>
    <col min="8697" max="8697" width="16.85546875" customWidth="1"/>
    <col min="8698" max="8698" width="14.5703125" customWidth="1"/>
    <col min="8699" max="8699" width="13.7109375" customWidth="1"/>
    <col min="8700" max="8700" width="18.7109375" customWidth="1"/>
    <col min="8701" max="8701" width="12" customWidth="1"/>
    <col min="8702" max="8702" width="17.5703125" customWidth="1"/>
    <col min="8703" max="8703" width="21.140625" customWidth="1"/>
    <col min="8704" max="8704" width="18.85546875" customWidth="1"/>
    <col min="8705" max="8705" width="11.5703125" customWidth="1"/>
    <col min="8706" max="8706" width="22.42578125" customWidth="1"/>
    <col min="8707" max="8707" width="11.85546875" customWidth="1"/>
    <col min="8708" max="8708" width="9.5703125" customWidth="1"/>
    <col min="8709" max="8711" width="9.42578125" customWidth="1"/>
    <col min="8712" max="8714" width="0" hidden="1" customWidth="1"/>
    <col min="8949" max="8949" width="6.140625" customWidth="1"/>
    <col min="8950" max="8950" width="29.85546875" customWidth="1"/>
    <col min="8951" max="8951" width="19.28515625" customWidth="1"/>
    <col min="8952" max="8952" width="19.42578125" customWidth="1"/>
    <col min="8953" max="8953" width="16.85546875" customWidth="1"/>
    <col min="8954" max="8954" width="14.5703125" customWidth="1"/>
    <col min="8955" max="8955" width="13.7109375" customWidth="1"/>
    <col min="8956" max="8956" width="18.7109375" customWidth="1"/>
    <col min="8957" max="8957" width="12" customWidth="1"/>
    <col min="8958" max="8958" width="17.5703125" customWidth="1"/>
    <col min="8959" max="8959" width="21.140625" customWidth="1"/>
    <col min="8960" max="8960" width="18.85546875" customWidth="1"/>
    <col min="8961" max="8961" width="11.5703125" customWidth="1"/>
    <col min="8962" max="8962" width="22.42578125" customWidth="1"/>
    <col min="8963" max="8963" width="11.85546875" customWidth="1"/>
    <col min="8964" max="8964" width="9.5703125" customWidth="1"/>
    <col min="8965" max="8967" width="9.42578125" customWidth="1"/>
    <col min="8968" max="8970" width="0" hidden="1" customWidth="1"/>
    <col min="9205" max="9205" width="6.140625" customWidth="1"/>
    <col min="9206" max="9206" width="29.85546875" customWidth="1"/>
    <col min="9207" max="9207" width="19.28515625" customWidth="1"/>
    <col min="9208" max="9208" width="19.42578125" customWidth="1"/>
    <col min="9209" max="9209" width="16.85546875" customWidth="1"/>
    <col min="9210" max="9210" width="14.5703125" customWidth="1"/>
    <col min="9211" max="9211" width="13.7109375" customWidth="1"/>
    <col min="9212" max="9212" width="18.7109375" customWidth="1"/>
    <col min="9213" max="9213" width="12" customWidth="1"/>
    <col min="9214" max="9214" width="17.5703125" customWidth="1"/>
    <col min="9215" max="9215" width="21.140625" customWidth="1"/>
    <col min="9216" max="9216" width="18.85546875" customWidth="1"/>
    <col min="9217" max="9217" width="11.5703125" customWidth="1"/>
    <col min="9218" max="9218" width="22.42578125" customWidth="1"/>
    <col min="9219" max="9219" width="11.85546875" customWidth="1"/>
    <col min="9220" max="9220" width="9.5703125" customWidth="1"/>
    <col min="9221" max="9223" width="9.42578125" customWidth="1"/>
    <col min="9224" max="9226" width="0" hidden="1" customWidth="1"/>
    <col min="9461" max="9461" width="6.140625" customWidth="1"/>
    <col min="9462" max="9462" width="29.85546875" customWidth="1"/>
    <col min="9463" max="9463" width="19.28515625" customWidth="1"/>
    <col min="9464" max="9464" width="19.42578125" customWidth="1"/>
    <col min="9465" max="9465" width="16.85546875" customWidth="1"/>
    <col min="9466" max="9466" width="14.5703125" customWidth="1"/>
    <col min="9467" max="9467" width="13.7109375" customWidth="1"/>
    <col min="9468" max="9468" width="18.7109375" customWidth="1"/>
    <col min="9469" max="9469" width="12" customWidth="1"/>
    <col min="9470" max="9470" width="17.5703125" customWidth="1"/>
    <col min="9471" max="9471" width="21.140625" customWidth="1"/>
    <col min="9472" max="9472" width="18.85546875" customWidth="1"/>
    <col min="9473" max="9473" width="11.5703125" customWidth="1"/>
    <col min="9474" max="9474" width="22.42578125" customWidth="1"/>
    <col min="9475" max="9475" width="11.85546875" customWidth="1"/>
    <col min="9476" max="9476" width="9.5703125" customWidth="1"/>
    <col min="9477" max="9479" width="9.42578125" customWidth="1"/>
    <col min="9480" max="9482" width="0" hidden="1" customWidth="1"/>
    <col min="9717" max="9717" width="6.140625" customWidth="1"/>
    <col min="9718" max="9718" width="29.85546875" customWidth="1"/>
    <col min="9719" max="9719" width="19.28515625" customWidth="1"/>
    <col min="9720" max="9720" width="19.42578125" customWidth="1"/>
    <col min="9721" max="9721" width="16.85546875" customWidth="1"/>
    <col min="9722" max="9722" width="14.5703125" customWidth="1"/>
    <col min="9723" max="9723" width="13.7109375" customWidth="1"/>
    <col min="9724" max="9724" width="18.7109375" customWidth="1"/>
    <col min="9725" max="9725" width="12" customWidth="1"/>
    <col min="9726" max="9726" width="17.5703125" customWidth="1"/>
    <col min="9727" max="9727" width="21.140625" customWidth="1"/>
    <col min="9728" max="9728" width="18.85546875" customWidth="1"/>
    <col min="9729" max="9729" width="11.5703125" customWidth="1"/>
    <col min="9730" max="9730" width="22.42578125" customWidth="1"/>
    <col min="9731" max="9731" width="11.85546875" customWidth="1"/>
    <col min="9732" max="9732" width="9.5703125" customWidth="1"/>
    <col min="9733" max="9735" width="9.42578125" customWidth="1"/>
    <col min="9736" max="9738" width="0" hidden="1" customWidth="1"/>
    <col min="9973" max="9973" width="6.140625" customWidth="1"/>
    <col min="9974" max="9974" width="29.85546875" customWidth="1"/>
    <col min="9975" max="9975" width="19.28515625" customWidth="1"/>
    <col min="9976" max="9976" width="19.42578125" customWidth="1"/>
    <col min="9977" max="9977" width="16.85546875" customWidth="1"/>
    <col min="9978" max="9978" width="14.5703125" customWidth="1"/>
    <col min="9979" max="9979" width="13.7109375" customWidth="1"/>
    <col min="9980" max="9980" width="18.7109375" customWidth="1"/>
    <col min="9981" max="9981" width="12" customWidth="1"/>
    <col min="9982" max="9982" width="17.5703125" customWidth="1"/>
    <col min="9983" max="9983" width="21.140625" customWidth="1"/>
    <col min="9984" max="9984" width="18.85546875" customWidth="1"/>
    <col min="9985" max="9985" width="11.5703125" customWidth="1"/>
    <col min="9986" max="9986" width="22.42578125" customWidth="1"/>
    <col min="9987" max="9987" width="11.85546875" customWidth="1"/>
    <col min="9988" max="9988" width="9.5703125" customWidth="1"/>
    <col min="9989" max="9991" width="9.42578125" customWidth="1"/>
    <col min="9992" max="9994" width="0" hidden="1" customWidth="1"/>
    <col min="10229" max="10229" width="6.140625" customWidth="1"/>
    <col min="10230" max="10230" width="29.85546875" customWidth="1"/>
    <col min="10231" max="10231" width="19.28515625" customWidth="1"/>
    <col min="10232" max="10232" width="19.42578125" customWidth="1"/>
    <col min="10233" max="10233" width="16.85546875" customWidth="1"/>
    <col min="10234" max="10234" width="14.5703125" customWidth="1"/>
    <col min="10235" max="10235" width="13.7109375" customWidth="1"/>
    <col min="10236" max="10236" width="18.7109375" customWidth="1"/>
    <col min="10237" max="10237" width="12" customWidth="1"/>
    <col min="10238" max="10238" width="17.5703125" customWidth="1"/>
    <col min="10239" max="10239" width="21.140625" customWidth="1"/>
    <col min="10240" max="10240" width="18.85546875" customWidth="1"/>
    <col min="10241" max="10241" width="11.5703125" customWidth="1"/>
    <col min="10242" max="10242" width="22.42578125" customWidth="1"/>
    <col min="10243" max="10243" width="11.85546875" customWidth="1"/>
    <col min="10244" max="10244" width="9.5703125" customWidth="1"/>
    <col min="10245" max="10247" width="9.42578125" customWidth="1"/>
    <col min="10248" max="10250" width="0" hidden="1" customWidth="1"/>
    <col min="10485" max="10485" width="6.140625" customWidth="1"/>
    <col min="10486" max="10486" width="29.85546875" customWidth="1"/>
    <col min="10487" max="10487" width="19.28515625" customWidth="1"/>
    <col min="10488" max="10488" width="19.42578125" customWidth="1"/>
    <col min="10489" max="10489" width="16.85546875" customWidth="1"/>
    <col min="10490" max="10490" width="14.5703125" customWidth="1"/>
    <col min="10491" max="10491" width="13.7109375" customWidth="1"/>
    <col min="10492" max="10492" width="18.7109375" customWidth="1"/>
    <col min="10493" max="10493" width="12" customWidth="1"/>
    <col min="10494" max="10494" width="17.5703125" customWidth="1"/>
    <col min="10495" max="10495" width="21.140625" customWidth="1"/>
    <col min="10496" max="10496" width="18.85546875" customWidth="1"/>
    <col min="10497" max="10497" width="11.5703125" customWidth="1"/>
    <col min="10498" max="10498" width="22.42578125" customWidth="1"/>
    <col min="10499" max="10499" width="11.85546875" customWidth="1"/>
    <col min="10500" max="10500" width="9.5703125" customWidth="1"/>
    <col min="10501" max="10503" width="9.42578125" customWidth="1"/>
    <col min="10504" max="10506" width="0" hidden="1" customWidth="1"/>
    <col min="10741" max="10741" width="6.140625" customWidth="1"/>
    <col min="10742" max="10742" width="29.85546875" customWidth="1"/>
    <col min="10743" max="10743" width="19.28515625" customWidth="1"/>
    <col min="10744" max="10744" width="19.42578125" customWidth="1"/>
    <col min="10745" max="10745" width="16.85546875" customWidth="1"/>
    <col min="10746" max="10746" width="14.5703125" customWidth="1"/>
    <col min="10747" max="10747" width="13.7109375" customWidth="1"/>
    <col min="10748" max="10748" width="18.7109375" customWidth="1"/>
    <col min="10749" max="10749" width="12" customWidth="1"/>
    <col min="10750" max="10750" width="17.5703125" customWidth="1"/>
    <col min="10751" max="10751" width="21.140625" customWidth="1"/>
    <col min="10752" max="10752" width="18.85546875" customWidth="1"/>
    <col min="10753" max="10753" width="11.5703125" customWidth="1"/>
    <col min="10754" max="10754" width="22.42578125" customWidth="1"/>
    <col min="10755" max="10755" width="11.85546875" customWidth="1"/>
    <col min="10756" max="10756" width="9.5703125" customWidth="1"/>
    <col min="10757" max="10759" width="9.42578125" customWidth="1"/>
    <col min="10760" max="10762" width="0" hidden="1" customWidth="1"/>
    <col min="10997" max="10997" width="6.140625" customWidth="1"/>
    <col min="10998" max="10998" width="29.85546875" customWidth="1"/>
    <col min="10999" max="10999" width="19.28515625" customWidth="1"/>
    <col min="11000" max="11000" width="19.42578125" customWidth="1"/>
    <col min="11001" max="11001" width="16.85546875" customWidth="1"/>
    <col min="11002" max="11002" width="14.5703125" customWidth="1"/>
    <col min="11003" max="11003" width="13.7109375" customWidth="1"/>
    <col min="11004" max="11004" width="18.7109375" customWidth="1"/>
    <col min="11005" max="11005" width="12" customWidth="1"/>
    <col min="11006" max="11006" width="17.5703125" customWidth="1"/>
    <col min="11007" max="11007" width="21.140625" customWidth="1"/>
    <col min="11008" max="11008" width="18.85546875" customWidth="1"/>
    <col min="11009" max="11009" width="11.5703125" customWidth="1"/>
    <col min="11010" max="11010" width="22.42578125" customWidth="1"/>
    <col min="11011" max="11011" width="11.85546875" customWidth="1"/>
    <col min="11012" max="11012" width="9.5703125" customWidth="1"/>
    <col min="11013" max="11015" width="9.42578125" customWidth="1"/>
    <col min="11016" max="11018" width="0" hidden="1" customWidth="1"/>
    <col min="11253" max="11253" width="6.140625" customWidth="1"/>
    <col min="11254" max="11254" width="29.85546875" customWidth="1"/>
    <col min="11255" max="11255" width="19.28515625" customWidth="1"/>
    <col min="11256" max="11256" width="19.42578125" customWidth="1"/>
    <col min="11257" max="11257" width="16.85546875" customWidth="1"/>
    <col min="11258" max="11258" width="14.5703125" customWidth="1"/>
    <col min="11259" max="11259" width="13.7109375" customWidth="1"/>
    <col min="11260" max="11260" width="18.7109375" customWidth="1"/>
    <col min="11261" max="11261" width="12" customWidth="1"/>
    <col min="11262" max="11262" width="17.5703125" customWidth="1"/>
    <col min="11263" max="11263" width="21.140625" customWidth="1"/>
    <col min="11264" max="11264" width="18.85546875" customWidth="1"/>
    <col min="11265" max="11265" width="11.5703125" customWidth="1"/>
    <col min="11266" max="11266" width="22.42578125" customWidth="1"/>
    <col min="11267" max="11267" width="11.85546875" customWidth="1"/>
    <col min="11268" max="11268" width="9.5703125" customWidth="1"/>
    <col min="11269" max="11271" width="9.42578125" customWidth="1"/>
    <col min="11272" max="11274" width="0" hidden="1" customWidth="1"/>
    <col min="11509" max="11509" width="6.140625" customWidth="1"/>
    <col min="11510" max="11510" width="29.85546875" customWidth="1"/>
    <col min="11511" max="11511" width="19.28515625" customWidth="1"/>
    <col min="11512" max="11512" width="19.42578125" customWidth="1"/>
    <col min="11513" max="11513" width="16.85546875" customWidth="1"/>
    <col min="11514" max="11514" width="14.5703125" customWidth="1"/>
    <col min="11515" max="11515" width="13.7109375" customWidth="1"/>
    <col min="11516" max="11516" width="18.7109375" customWidth="1"/>
    <col min="11517" max="11517" width="12" customWidth="1"/>
    <col min="11518" max="11518" width="17.5703125" customWidth="1"/>
    <col min="11519" max="11519" width="21.140625" customWidth="1"/>
    <col min="11520" max="11520" width="18.85546875" customWidth="1"/>
    <col min="11521" max="11521" width="11.5703125" customWidth="1"/>
    <col min="11522" max="11522" width="22.42578125" customWidth="1"/>
    <col min="11523" max="11523" width="11.85546875" customWidth="1"/>
    <col min="11524" max="11524" width="9.5703125" customWidth="1"/>
    <col min="11525" max="11527" width="9.42578125" customWidth="1"/>
    <col min="11528" max="11530" width="0" hidden="1" customWidth="1"/>
    <col min="11765" max="11765" width="6.140625" customWidth="1"/>
    <col min="11766" max="11766" width="29.85546875" customWidth="1"/>
    <col min="11767" max="11767" width="19.28515625" customWidth="1"/>
    <col min="11768" max="11768" width="19.42578125" customWidth="1"/>
    <col min="11769" max="11769" width="16.85546875" customWidth="1"/>
    <col min="11770" max="11770" width="14.5703125" customWidth="1"/>
    <col min="11771" max="11771" width="13.7109375" customWidth="1"/>
    <col min="11772" max="11772" width="18.7109375" customWidth="1"/>
    <col min="11773" max="11773" width="12" customWidth="1"/>
    <col min="11774" max="11774" width="17.5703125" customWidth="1"/>
    <col min="11775" max="11775" width="21.140625" customWidth="1"/>
    <col min="11776" max="11776" width="18.85546875" customWidth="1"/>
    <col min="11777" max="11777" width="11.5703125" customWidth="1"/>
    <col min="11778" max="11778" width="22.42578125" customWidth="1"/>
    <col min="11779" max="11779" width="11.85546875" customWidth="1"/>
    <col min="11780" max="11780" width="9.5703125" customWidth="1"/>
    <col min="11781" max="11783" width="9.42578125" customWidth="1"/>
    <col min="11784" max="11786" width="0" hidden="1" customWidth="1"/>
    <col min="12021" max="12021" width="6.140625" customWidth="1"/>
    <col min="12022" max="12022" width="29.85546875" customWidth="1"/>
    <col min="12023" max="12023" width="19.28515625" customWidth="1"/>
    <col min="12024" max="12024" width="19.42578125" customWidth="1"/>
    <col min="12025" max="12025" width="16.85546875" customWidth="1"/>
    <col min="12026" max="12026" width="14.5703125" customWidth="1"/>
    <col min="12027" max="12027" width="13.7109375" customWidth="1"/>
    <col min="12028" max="12028" width="18.7109375" customWidth="1"/>
    <col min="12029" max="12029" width="12" customWidth="1"/>
    <col min="12030" max="12030" width="17.5703125" customWidth="1"/>
    <col min="12031" max="12031" width="21.140625" customWidth="1"/>
    <col min="12032" max="12032" width="18.85546875" customWidth="1"/>
    <col min="12033" max="12033" width="11.5703125" customWidth="1"/>
    <col min="12034" max="12034" width="22.42578125" customWidth="1"/>
    <col min="12035" max="12035" width="11.85546875" customWidth="1"/>
    <col min="12036" max="12036" width="9.5703125" customWidth="1"/>
    <col min="12037" max="12039" width="9.42578125" customWidth="1"/>
    <col min="12040" max="12042" width="0" hidden="1" customWidth="1"/>
    <col min="12277" max="12277" width="6.140625" customWidth="1"/>
    <col min="12278" max="12278" width="29.85546875" customWidth="1"/>
    <col min="12279" max="12279" width="19.28515625" customWidth="1"/>
    <col min="12280" max="12280" width="19.42578125" customWidth="1"/>
    <col min="12281" max="12281" width="16.85546875" customWidth="1"/>
    <col min="12282" max="12282" width="14.5703125" customWidth="1"/>
    <col min="12283" max="12283" width="13.7109375" customWidth="1"/>
    <col min="12284" max="12284" width="18.7109375" customWidth="1"/>
    <col min="12285" max="12285" width="12" customWidth="1"/>
    <col min="12286" max="12286" width="17.5703125" customWidth="1"/>
    <col min="12287" max="12287" width="21.140625" customWidth="1"/>
    <col min="12288" max="12288" width="18.85546875" customWidth="1"/>
    <col min="12289" max="12289" width="11.5703125" customWidth="1"/>
    <col min="12290" max="12290" width="22.42578125" customWidth="1"/>
    <col min="12291" max="12291" width="11.85546875" customWidth="1"/>
    <col min="12292" max="12292" width="9.5703125" customWidth="1"/>
    <col min="12293" max="12295" width="9.42578125" customWidth="1"/>
    <col min="12296" max="12298" width="0" hidden="1" customWidth="1"/>
    <col min="12533" max="12533" width="6.140625" customWidth="1"/>
    <col min="12534" max="12534" width="29.85546875" customWidth="1"/>
    <col min="12535" max="12535" width="19.28515625" customWidth="1"/>
    <col min="12536" max="12536" width="19.42578125" customWidth="1"/>
    <col min="12537" max="12537" width="16.85546875" customWidth="1"/>
    <col min="12538" max="12538" width="14.5703125" customWidth="1"/>
    <col min="12539" max="12539" width="13.7109375" customWidth="1"/>
    <col min="12540" max="12540" width="18.7109375" customWidth="1"/>
    <col min="12541" max="12541" width="12" customWidth="1"/>
    <col min="12542" max="12542" width="17.5703125" customWidth="1"/>
    <col min="12543" max="12543" width="21.140625" customWidth="1"/>
    <col min="12544" max="12544" width="18.85546875" customWidth="1"/>
    <col min="12545" max="12545" width="11.5703125" customWidth="1"/>
    <col min="12546" max="12546" width="22.42578125" customWidth="1"/>
    <col min="12547" max="12547" width="11.85546875" customWidth="1"/>
    <col min="12548" max="12548" width="9.5703125" customWidth="1"/>
    <col min="12549" max="12551" width="9.42578125" customWidth="1"/>
    <col min="12552" max="12554" width="0" hidden="1" customWidth="1"/>
    <col min="12789" max="12789" width="6.140625" customWidth="1"/>
    <col min="12790" max="12790" width="29.85546875" customWidth="1"/>
    <col min="12791" max="12791" width="19.28515625" customWidth="1"/>
    <col min="12792" max="12792" width="19.42578125" customWidth="1"/>
    <col min="12793" max="12793" width="16.85546875" customWidth="1"/>
    <col min="12794" max="12794" width="14.5703125" customWidth="1"/>
    <col min="12795" max="12795" width="13.7109375" customWidth="1"/>
    <col min="12796" max="12796" width="18.7109375" customWidth="1"/>
    <col min="12797" max="12797" width="12" customWidth="1"/>
    <col min="12798" max="12798" width="17.5703125" customWidth="1"/>
    <col min="12799" max="12799" width="21.140625" customWidth="1"/>
    <col min="12800" max="12800" width="18.85546875" customWidth="1"/>
    <col min="12801" max="12801" width="11.5703125" customWidth="1"/>
    <col min="12802" max="12802" width="22.42578125" customWidth="1"/>
    <col min="12803" max="12803" width="11.85546875" customWidth="1"/>
    <col min="12804" max="12804" width="9.5703125" customWidth="1"/>
    <col min="12805" max="12807" width="9.42578125" customWidth="1"/>
    <col min="12808" max="12810" width="0" hidden="1" customWidth="1"/>
    <col min="13045" max="13045" width="6.140625" customWidth="1"/>
    <col min="13046" max="13046" width="29.85546875" customWidth="1"/>
    <col min="13047" max="13047" width="19.28515625" customWidth="1"/>
    <col min="13048" max="13048" width="19.42578125" customWidth="1"/>
    <col min="13049" max="13049" width="16.85546875" customWidth="1"/>
    <col min="13050" max="13050" width="14.5703125" customWidth="1"/>
    <col min="13051" max="13051" width="13.7109375" customWidth="1"/>
    <col min="13052" max="13052" width="18.7109375" customWidth="1"/>
    <col min="13053" max="13053" width="12" customWidth="1"/>
    <col min="13054" max="13054" width="17.5703125" customWidth="1"/>
    <col min="13055" max="13055" width="21.140625" customWidth="1"/>
    <col min="13056" max="13056" width="18.85546875" customWidth="1"/>
    <col min="13057" max="13057" width="11.5703125" customWidth="1"/>
    <col min="13058" max="13058" width="22.42578125" customWidth="1"/>
    <col min="13059" max="13059" width="11.85546875" customWidth="1"/>
    <col min="13060" max="13060" width="9.5703125" customWidth="1"/>
    <col min="13061" max="13063" width="9.42578125" customWidth="1"/>
    <col min="13064" max="13066" width="0" hidden="1" customWidth="1"/>
    <col min="13301" max="13301" width="6.140625" customWidth="1"/>
    <col min="13302" max="13302" width="29.85546875" customWidth="1"/>
    <col min="13303" max="13303" width="19.28515625" customWidth="1"/>
    <col min="13304" max="13304" width="19.42578125" customWidth="1"/>
    <col min="13305" max="13305" width="16.85546875" customWidth="1"/>
    <col min="13306" max="13306" width="14.5703125" customWidth="1"/>
    <col min="13307" max="13307" width="13.7109375" customWidth="1"/>
    <col min="13308" max="13308" width="18.7109375" customWidth="1"/>
    <col min="13309" max="13309" width="12" customWidth="1"/>
    <col min="13310" max="13310" width="17.5703125" customWidth="1"/>
    <col min="13311" max="13311" width="21.140625" customWidth="1"/>
    <col min="13312" max="13312" width="18.85546875" customWidth="1"/>
    <col min="13313" max="13313" width="11.5703125" customWidth="1"/>
    <col min="13314" max="13314" width="22.42578125" customWidth="1"/>
    <col min="13315" max="13315" width="11.85546875" customWidth="1"/>
    <col min="13316" max="13316" width="9.5703125" customWidth="1"/>
    <col min="13317" max="13319" width="9.42578125" customWidth="1"/>
    <col min="13320" max="13322" width="0" hidden="1" customWidth="1"/>
    <col min="13557" max="13557" width="6.140625" customWidth="1"/>
    <col min="13558" max="13558" width="29.85546875" customWidth="1"/>
    <col min="13559" max="13559" width="19.28515625" customWidth="1"/>
    <col min="13560" max="13560" width="19.42578125" customWidth="1"/>
    <col min="13561" max="13561" width="16.85546875" customWidth="1"/>
    <col min="13562" max="13562" width="14.5703125" customWidth="1"/>
    <col min="13563" max="13563" width="13.7109375" customWidth="1"/>
    <col min="13564" max="13564" width="18.7109375" customWidth="1"/>
    <col min="13565" max="13565" width="12" customWidth="1"/>
    <col min="13566" max="13566" width="17.5703125" customWidth="1"/>
    <col min="13567" max="13567" width="21.140625" customWidth="1"/>
    <col min="13568" max="13568" width="18.85546875" customWidth="1"/>
    <col min="13569" max="13569" width="11.5703125" customWidth="1"/>
    <col min="13570" max="13570" width="22.42578125" customWidth="1"/>
    <col min="13571" max="13571" width="11.85546875" customWidth="1"/>
    <col min="13572" max="13572" width="9.5703125" customWidth="1"/>
    <col min="13573" max="13575" width="9.42578125" customWidth="1"/>
    <col min="13576" max="13578" width="0" hidden="1" customWidth="1"/>
    <col min="13813" max="13813" width="6.140625" customWidth="1"/>
    <col min="13814" max="13814" width="29.85546875" customWidth="1"/>
    <col min="13815" max="13815" width="19.28515625" customWidth="1"/>
    <col min="13816" max="13816" width="19.42578125" customWidth="1"/>
    <col min="13817" max="13817" width="16.85546875" customWidth="1"/>
    <col min="13818" max="13818" width="14.5703125" customWidth="1"/>
    <col min="13819" max="13819" width="13.7109375" customWidth="1"/>
    <col min="13820" max="13820" width="18.7109375" customWidth="1"/>
    <col min="13821" max="13821" width="12" customWidth="1"/>
    <col min="13822" max="13822" width="17.5703125" customWidth="1"/>
    <col min="13823" max="13823" width="21.140625" customWidth="1"/>
    <col min="13824" max="13824" width="18.85546875" customWidth="1"/>
    <col min="13825" max="13825" width="11.5703125" customWidth="1"/>
    <col min="13826" max="13826" width="22.42578125" customWidth="1"/>
    <col min="13827" max="13827" width="11.85546875" customWidth="1"/>
    <col min="13828" max="13828" width="9.5703125" customWidth="1"/>
    <col min="13829" max="13831" width="9.42578125" customWidth="1"/>
    <col min="13832" max="13834" width="0" hidden="1" customWidth="1"/>
    <col min="14069" max="14069" width="6.140625" customWidth="1"/>
    <col min="14070" max="14070" width="29.85546875" customWidth="1"/>
    <col min="14071" max="14071" width="19.28515625" customWidth="1"/>
    <col min="14072" max="14072" width="19.42578125" customWidth="1"/>
    <col min="14073" max="14073" width="16.85546875" customWidth="1"/>
    <col min="14074" max="14074" width="14.5703125" customWidth="1"/>
    <col min="14075" max="14075" width="13.7109375" customWidth="1"/>
    <col min="14076" max="14076" width="18.7109375" customWidth="1"/>
    <col min="14077" max="14077" width="12" customWidth="1"/>
    <col min="14078" max="14078" width="17.5703125" customWidth="1"/>
    <col min="14079" max="14079" width="21.140625" customWidth="1"/>
    <col min="14080" max="14080" width="18.85546875" customWidth="1"/>
    <col min="14081" max="14081" width="11.5703125" customWidth="1"/>
    <col min="14082" max="14082" width="22.42578125" customWidth="1"/>
    <col min="14083" max="14083" width="11.85546875" customWidth="1"/>
    <col min="14084" max="14084" width="9.5703125" customWidth="1"/>
    <col min="14085" max="14087" width="9.42578125" customWidth="1"/>
    <col min="14088" max="14090" width="0" hidden="1" customWidth="1"/>
    <col min="14325" max="14325" width="6.140625" customWidth="1"/>
    <col min="14326" max="14326" width="29.85546875" customWidth="1"/>
    <col min="14327" max="14327" width="19.28515625" customWidth="1"/>
    <col min="14328" max="14328" width="19.42578125" customWidth="1"/>
    <col min="14329" max="14329" width="16.85546875" customWidth="1"/>
    <col min="14330" max="14330" width="14.5703125" customWidth="1"/>
    <col min="14331" max="14331" width="13.7109375" customWidth="1"/>
    <col min="14332" max="14332" width="18.7109375" customWidth="1"/>
    <col min="14333" max="14333" width="12" customWidth="1"/>
    <col min="14334" max="14334" width="17.5703125" customWidth="1"/>
    <col min="14335" max="14335" width="21.140625" customWidth="1"/>
    <col min="14336" max="14336" width="18.85546875" customWidth="1"/>
    <col min="14337" max="14337" width="11.5703125" customWidth="1"/>
    <col min="14338" max="14338" width="22.42578125" customWidth="1"/>
    <col min="14339" max="14339" width="11.85546875" customWidth="1"/>
    <col min="14340" max="14340" width="9.5703125" customWidth="1"/>
    <col min="14341" max="14343" width="9.42578125" customWidth="1"/>
    <col min="14344" max="14346" width="0" hidden="1" customWidth="1"/>
    <col min="14581" max="14581" width="6.140625" customWidth="1"/>
    <col min="14582" max="14582" width="29.85546875" customWidth="1"/>
    <col min="14583" max="14583" width="19.28515625" customWidth="1"/>
    <col min="14584" max="14584" width="19.42578125" customWidth="1"/>
    <col min="14585" max="14585" width="16.85546875" customWidth="1"/>
    <col min="14586" max="14586" width="14.5703125" customWidth="1"/>
    <col min="14587" max="14587" width="13.7109375" customWidth="1"/>
    <col min="14588" max="14588" width="18.7109375" customWidth="1"/>
    <col min="14589" max="14589" width="12" customWidth="1"/>
    <col min="14590" max="14590" width="17.5703125" customWidth="1"/>
    <col min="14591" max="14591" width="21.140625" customWidth="1"/>
    <col min="14592" max="14592" width="18.85546875" customWidth="1"/>
    <col min="14593" max="14593" width="11.5703125" customWidth="1"/>
    <col min="14594" max="14594" width="22.42578125" customWidth="1"/>
    <col min="14595" max="14595" width="11.85546875" customWidth="1"/>
    <col min="14596" max="14596" width="9.5703125" customWidth="1"/>
    <col min="14597" max="14599" width="9.42578125" customWidth="1"/>
    <col min="14600" max="14602" width="0" hidden="1" customWidth="1"/>
    <col min="14837" max="14837" width="6.140625" customWidth="1"/>
    <col min="14838" max="14838" width="29.85546875" customWidth="1"/>
    <col min="14839" max="14839" width="19.28515625" customWidth="1"/>
    <col min="14840" max="14840" width="19.42578125" customWidth="1"/>
    <col min="14841" max="14841" width="16.85546875" customWidth="1"/>
    <col min="14842" max="14842" width="14.5703125" customWidth="1"/>
    <col min="14843" max="14843" width="13.7109375" customWidth="1"/>
    <col min="14844" max="14844" width="18.7109375" customWidth="1"/>
    <col min="14845" max="14845" width="12" customWidth="1"/>
    <col min="14846" max="14846" width="17.5703125" customWidth="1"/>
    <col min="14847" max="14847" width="21.140625" customWidth="1"/>
    <col min="14848" max="14848" width="18.85546875" customWidth="1"/>
    <col min="14849" max="14849" width="11.5703125" customWidth="1"/>
    <col min="14850" max="14850" width="22.42578125" customWidth="1"/>
    <col min="14851" max="14851" width="11.85546875" customWidth="1"/>
    <col min="14852" max="14852" width="9.5703125" customWidth="1"/>
    <col min="14853" max="14855" width="9.42578125" customWidth="1"/>
    <col min="14856" max="14858" width="0" hidden="1" customWidth="1"/>
    <col min="15093" max="15093" width="6.140625" customWidth="1"/>
    <col min="15094" max="15094" width="29.85546875" customWidth="1"/>
    <col min="15095" max="15095" width="19.28515625" customWidth="1"/>
    <col min="15096" max="15096" width="19.42578125" customWidth="1"/>
    <col min="15097" max="15097" width="16.85546875" customWidth="1"/>
    <col min="15098" max="15098" width="14.5703125" customWidth="1"/>
    <col min="15099" max="15099" width="13.7109375" customWidth="1"/>
    <col min="15100" max="15100" width="18.7109375" customWidth="1"/>
    <col min="15101" max="15101" width="12" customWidth="1"/>
    <col min="15102" max="15102" width="17.5703125" customWidth="1"/>
    <col min="15103" max="15103" width="21.140625" customWidth="1"/>
    <col min="15104" max="15104" width="18.85546875" customWidth="1"/>
    <col min="15105" max="15105" width="11.5703125" customWidth="1"/>
    <col min="15106" max="15106" width="22.42578125" customWidth="1"/>
    <col min="15107" max="15107" width="11.85546875" customWidth="1"/>
    <col min="15108" max="15108" width="9.5703125" customWidth="1"/>
    <col min="15109" max="15111" width="9.42578125" customWidth="1"/>
    <col min="15112" max="15114" width="0" hidden="1" customWidth="1"/>
    <col min="15349" max="15349" width="6.140625" customWidth="1"/>
    <col min="15350" max="15350" width="29.85546875" customWidth="1"/>
    <col min="15351" max="15351" width="19.28515625" customWidth="1"/>
    <col min="15352" max="15352" width="19.42578125" customWidth="1"/>
    <col min="15353" max="15353" width="16.85546875" customWidth="1"/>
    <col min="15354" max="15354" width="14.5703125" customWidth="1"/>
    <col min="15355" max="15355" width="13.7109375" customWidth="1"/>
    <col min="15356" max="15356" width="18.7109375" customWidth="1"/>
    <col min="15357" max="15357" width="12" customWidth="1"/>
    <col min="15358" max="15358" width="17.5703125" customWidth="1"/>
    <col min="15359" max="15359" width="21.140625" customWidth="1"/>
    <col min="15360" max="15360" width="18.85546875" customWidth="1"/>
    <col min="15361" max="15361" width="11.5703125" customWidth="1"/>
    <col min="15362" max="15362" width="22.42578125" customWidth="1"/>
    <col min="15363" max="15363" width="11.85546875" customWidth="1"/>
    <col min="15364" max="15364" width="9.5703125" customWidth="1"/>
    <col min="15365" max="15367" width="9.42578125" customWidth="1"/>
    <col min="15368" max="15370" width="0" hidden="1" customWidth="1"/>
    <col min="15605" max="15605" width="6.140625" customWidth="1"/>
    <col min="15606" max="15606" width="29.85546875" customWidth="1"/>
    <col min="15607" max="15607" width="19.28515625" customWidth="1"/>
    <col min="15608" max="15608" width="19.42578125" customWidth="1"/>
    <col min="15609" max="15609" width="16.85546875" customWidth="1"/>
    <col min="15610" max="15610" width="14.5703125" customWidth="1"/>
    <col min="15611" max="15611" width="13.7109375" customWidth="1"/>
    <col min="15612" max="15612" width="18.7109375" customWidth="1"/>
    <col min="15613" max="15613" width="12" customWidth="1"/>
    <col min="15614" max="15614" width="17.5703125" customWidth="1"/>
    <col min="15615" max="15615" width="21.140625" customWidth="1"/>
    <col min="15616" max="15616" width="18.85546875" customWidth="1"/>
    <col min="15617" max="15617" width="11.5703125" customWidth="1"/>
    <col min="15618" max="15618" width="22.42578125" customWidth="1"/>
    <col min="15619" max="15619" width="11.85546875" customWidth="1"/>
    <col min="15620" max="15620" width="9.5703125" customWidth="1"/>
    <col min="15621" max="15623" width="9.42578125" customWidth="1"/>
    <col min="15624" max="15626" width="0" hidden="1" customWidth="1"/>
    <col min="15861" max="15861" width="6.140625" customWidth="1"/>
    <col min="15862" max="15862" width="29.85546875" customWidth="1"/>
    <col min="15863" max="15863" width="19.28515625" customWidth="1"/>
    <col min="15864" max="15864" width="19.42578125" customWidth="1"/>
    <col min="15865" max="15865" width="16.85546875" customWidth="1"/>
    <col min="15866" max="15866" width="14.5703125" customWidth="1"/>
    <col min="15867" max="15867" width="13.7109375" customWidth="1"/>
    <col min="15868" max="15868" width="18.7109375" customWidth="1"/>
    <col min="15869" max="15869" width="12" customWidth="1"/>
    <col min="15870" max="15870" width="17.5703125" customWidth="1"/>
    <col min="15871" max="15871" width="21.140625" customWidth="1"/>
    <col min="15872" max="15872" width="18.85546875" customWidth="1"/>
    <col min="15873" max="15873" width="11.5703125" customWidth="1"/>
    <col min="15874" max="15874" width="22.42578125" customWidth="1"/>
    <col min="15875" max="15875" width="11.85546875" customWidth="1"/>
    <col min="15876" max="15876" width="9.5703125" customWidth="1"/>
    <col min="15877" max="15879" width="9.42578125" customWidth="1"/>
    <col min="15880" max="15882" width="0" hidden="1" customWidth="1"/>
    <col min="16117" max="16117" width="6.140625" customWidth="1"/>
    <col min="16118" max="16118" width="29.85546875" customWidth="1"/>
    <col min="16119" max="16119" width="19.28515625" customWidth="1"/>
    <col min="16120" max="16120" width="19.42578125" customWidth="1"/>
    <col min="16121" max="16121" width="16.85546875" customWidth="1"/>
    <col min="16122" max="16122" width="14.5703125" customWidth="1"/>
    <col min="16123" max="16123" width="13.7109375" customWidth="1"/>
    <col min="16124" max="16124" width="18.7109375" customWidth="1"/>
    <col min="16125" max="16125" width="12" customWidth="1"/>
    <col min="16126" max="16126" width="17.5703125" customWidth="1"/>
    <col min="16127" max="16127" width="21.140625" customWidth="1"/>
    <col min="16128" max="16128" width="18.85546875" customWidth="1"/>
    <col min="16129" max="16129" width="11.5703125" customWidth="1"/>
    <col min="16130" max="16130" width="22.42578125" customWidth="1"/>
    <col min="16131" max="16131" width="11.85546875" customWidth="1"/>
    <col min="16132" max="16132" width="9.5703125" customWidth="1"/>
    <col min="16133" max="16135" width="9.42578125" customWidth="1"/>
    <col min="16136" max="16138" width="0" hidden="1" customWidth="1"/>
  </cols>
  <sheetData>
    <row r="1" spans="1:14" s="546" customFormat="1" ht="23.45">
      <c r="A1" s="547"/>
      <c r="B1" s="547"/>
      <c r="C1" s="547"/>
      <c r="D1" s="547"/>
      <c r="E1" s="547"/>
      <c r="F1" s="547"/>
      <c r="G1" s="548"/>
      <c r="H1" s="549"/>
      <c r="I1" s="549"/>
      <c r="J1" s="549"/>
      <c r="K1" s="550"/>
      <c r="L1" s="551"/>
      <c r="M1" s="551"/>
      <c r="N1" s="551"/>
    </row>
    <row r="2" spans="1:14" s="11" customFormat="1" ht="22.9">
      <c r="A2" s="680" t="s">
        <v>290</v>
      </c>
      <c r="B2" s="680"/>
      <c r="C2" s="680"/>
      <c r="D2" s="680"/>
      <c r="E2" s="680"/>
      <c r="F2" s="680"/>
      <c r="G2" s="680"/>
      <c r="H2" s="680"/>
      <c r="I2" s="680"/>
      <c r="J2" s="680"/>
      <c r="K2" s="680"/>
      <c r="L2" s="680"/>
      <c r="M2" s="680"/>
      <c r="N2" s="680"/>
    </row>
    <row r="3" spans="1:14" s="11" customFormat="1" ht="21">
      <c r="A3" s="685" t="s">
        <v>291</v>
      </c>
      <c r="B3" s="685"/>
      <c r="C3" s="685"/>
      <c r="D3" s="685"/>
      <c r="E3" s="685"/>
      <c r="F3" s="685"/>
      <c r="G3" s="685"/>
      <c r="H3" s="685"/>
      <c r="I3" s="685"/>
      <c r="J3" s="685"/>
      <c r="K3" s="685"/>
      <c r="L3" s="685"/>
      <c r="M3" s="685"/>
      <c r="N3" s="685"/>
    </row>
    <row r="4" spans="1:14" s="11" customFormat="1" ht="15.6">
      <c r="A4" s="552"/>
      <c r="B4" s="552"/>
      <c r="C4" s="552"/>
      <c r="D4" s="552"/>
      <c r="E4" s="552"/>
      <c r="F4" s="552"/>
      <c r="G4" s="552"/>
      <c r="H4" s="552"/>
      <c r="I4" s="552"/>
      <c r="J4" s="552"/>
      <c r="K4" s="552"/>
      <c r="L4" s="552"/>
      <c r="M4" s="552"/>
      <c r="N4" s="552"/>
    </row>
    <row r="5" spans="1:14" s="11" customFormat="1" ht="16.149999999999999" thickBot="1">
      <c r="A5" s="553" t="s">
        <v>292</v>
      </c>
      <c r="B5" s="554"/>
      <c r="C5" s="554"/>
      <c r="D5" s="554"/>
      <c r="E5" s="141"/>
      <c r="F5" s="141"/>
      <c r="G5" s="141"/>
      <c r="H5" s="141"/>
      <c r="I5" s="141"/>
      <c r="J5" s="141"/>
      <c r="K5" s="141"/>
      <c r="L5" s="555"/>
      <c r="M5" s="141"/>
      <c r="N5" s="141"/>
    </row>
    <row r="6" spans="1:14" s="458" customFormat="1" ht="52.9" thickBot="1">
      <c r="A6" s="556" t="s">
        <v>82</v>
      </c>
      <c r="B6" s="557" t="s">
        <v>83</v>
      </c>
      <c r="C6" s="557" t="s">
        <v>84</v>
      </c>
      <c r="D6" s="558" t="s">
        <v>232</v>
      </c>
      <c r="E6" s="559" t="s">
        <v>85</v>
      </c>
      <c r="F6" s="558" t="s">
        <v>234</v>
      </c>
      <c r="G6" s="558" t="s">
        <v>293</v>
      </c>
      <c r="H6" s="558" t="s">
        <v>236</v>
      </c>
      <c r="I6" s="558" t="s">
        <v>237</v>
      </c>
      <c r="J6" s="558" t="s">
        <v>238</v>
      </c>
      <c r="K6" s="558" t="s">
        <v>90</v>
      </c>
      <c r="L6" s="558" t="s">
        <v>265</v>
      </c>
      <c r="M6" s="558" t="s">
        <v>92</v>
      </c>
      <c r="N6" s="560" t="s">
        <v>93</v>
      </c>
    </row>
    <row r="7" spans="1:14" s="458" customFormat="1" ht="18" hidden="1" thickBot="1">
      <c r="A7" s="556"/>
      <c r="B7" s="561"/>
      <c r="C7" s="557"/>
      <c r="D7" s="562"/>
      <c r="E7" s="563"/>
      <c r="F7" s="564"/>
      <c r="G7" s="565"/>
      <c r="H7" s="566" t="str">
        <f>CONCATENATE([2]Налаштування!$B$3,"%")</f>
        <v>22%</v>
      </c>
      <c r="I7" s="567">
        <v>0.53159999999999996</v>
      </c>
      <c r="J7" s="568"/>
      <c r="K7" s="569">
        <v>0.1</v>
      </c>
      <c r="L7" s="564"/>
      <c r="M7" s="561" t="str">
        <f>CONCATENATE([2]Налаштування!$B$12,"%")</f>
        <v>20%</v>
      </c>
      <c r="N7" s="570"/>
    </row>
    <row r="8" spans="1:14" s="458" customFormat="1" ht="52.15">
      <c r="A8" s="571">
        <v>1</v>
      </c>
      <c r="B8" s="572" t="s">
        <v>64</v>
      </c>
      <c r="C8" s="573" t="s">
        <v>294</v>
      </c>
      <c r="D8" s="574" t="s">
        <v>295</v>
      </c>
      <c r="E8" s="575">
        <v>12.282999999999999</v>
      </c>
      <c r="F8" s="576">
        <f>24030/173.33*1.25</f>
        <v>173.29660185772804</v>
      </c>
      <c r="G8" s="577">
        <f>E8*F8</f>
        <v>2128.6021606184736</v>
      </c>
      <c r="H8" s="578">
        <f>G8*$H$7</f>
        <v>468.29247533606417</v>
      </c>
      <c r="I8" s="578">
        <f>G8*$I$7</f>
        <v>1131.5649085847804</v>
      </c>
      <c r="J8" s="578">
        <f>SUM(G8:I8)</f>
        <v>3728.4595445393184</v>
      </c>
      <c r="K8" s="415">
        <f>J8*$K$7</f>
        <v>372.84595445393188</v>
      </c>
      <c r="L8" s="579">
        <f>J8+K8</f>
        <v>4101.3054989932498</v>
      </c>
      <c r="M8" s="580">
        <f>L8*$M$7</f>
        <v>820.26109979864998</v>
      </c>
      <c r="N8" s="418">
        <f>L8+M8</f>
        <v>4921.5665987919001</v>
      </c>
    </row>
    <row r="9" spans="1:14" s="458" customFormat="1" ht="52.15">
      <c r="A9" s="581">
        <v>2</v>
      </c>
      <c r="B9" s="582" t="s">
        <v>65</v>
      </c>
      <c r="C9" s="583" t="s">
        <v>244</v>
      </c>
      <c r="D9" s="584" t="s">
        <v>244</v>
      </c>
      <c r="E9" s="585">
        <v>1.228</v>
      </c>
      <c r="F9" s="586">
        <f t="shared" ref="F9:F12" si="0">24030/173.33*1.25</f>
        <v>173.29660185772804</v>
      </c>
      <c r="G9" s="587">
        <f t="shared" ref="G9:G12" si="1">E9*F9</f>
        <v>212.80822708129003</v>
      </c>
      <c r="H9" s="588">
        <f t="shared" ref="H9:H12" si="2">G9*$H$7</f>
        <v>46.817809957883803</v>
      </c>
      <c r="I9" s="588">
        <f t="shared" ref="I9:I12" si="3">G9*$I$7</f>
        <v>113.12885351641377</v>
      </c>
      <c r="J9" s="588">
        <f>SUM(G9:I9)</f>
        <v>372.75489055558756</v>
      </c>
      <c r="K9" s="589">
        <f t="shared" ref="K9:K12" si="4">J9*$K$7</f>
        <v>37.275489055558758</v>
      </c>
      <c r="L9" s="590">
        <f t="shared" ref="L9:L12" si="5">J9+K9</f>
        <v>410.03037961114632</v>
      </c>
      <c r="M9" s="425">
        <f t="shared" ref="M9:M11" si="6">L9*$M$7</f>
        <v>82.006075922229272</v>
      </c>
      <c r="N9" s="591">
        <f t="shared" ref="N9:N12" si="7">L9+M9</f>
        <v>492.0364555333756</v>
      </c>
    </row>
    <row r="10" spans="1:14" s="458" customFormat="1" ht="52.15">
      <c r="A10" s="581">
        <v>3</v>
      </c>
      <c r="B10" s="582" t="s">
        <v>66</v>
      </c>
      <c r="C10" s="583" t="s">
        <v>244</v>
      </c>
      <c r="D10" s="584" t="s">
        <v>244</v>
      </c>
      <c r="E10" s="585">
        <v>5.617</v>
      </c>
      <c r="F10" s="586">
        <f t="shared" si="0"/>
        <v>173.29660185772804</v>
      </c>
      <c r="G10" s="587">
        <f t="shared" si="1"/>
        <v>973.40701263485835</v>
      </c>
      <c r="H10" s="588">
        <f t="shared" si="2"/>
        <v>214.14954277966885</v>
      </c>
      <c r="I10" s="588">
        <f t="shared" si="3"/>
        <v>517.46316791669062</v>
      </c>
      <c r="J10" s="588">
        <f t="shared" ref="J10:J11" si="8">SUM(G10:I10)</f>
        <v>1705.0197233312178</v>
      </c>
      <c r="K10" s="589">
        <f t="shared" si="4"/>
        <v>170.50197233312178</v>
      </c>
      <c r="L10" s="590">
        <f t="shared" si="5"/>
        <v>1875.5216956643396</v>
      </c>
      <c r="M10" s="425">
        <f t="shared" si="6"/>
        <v>375.10433913286795</v>
      </c>
      <c r="N10" s="591">
        <f t="shared" si="7"/>
        <v>2250.6260347972075</v>
      </c>
    </row>
    <row r="11" spans="1:14" s="458" customFormat="1" ht="52.15">
      <c r="A11" s="581">
        <v>4</v>
      </c>
      <c r="B11" s="582" t="s">
        <v>67</v>
      </c>
      <c r="C11" s="583" t="s">
        <v>244</v>
      </c>
      <c r="D11" s="584" t="s">
        <v>244</v>
      </c>
      <c r="E11" s="585">
        <v>6.867</v>
      </c>
      <c r="F11" s="586">
        <f t="shared" si="0"/>
        <v>173.29660185772804</v>
      </c>
      <c r="G11" s="587">
        <f t="shared" si="1"/>
        <v>1190.0277649570185</v>
      </c>
      <c r="H11" s="588">
        <f t="shared" si="2"/>
        <v>261.80610829054405</v>
      </c>
      <c r="I11" s="588">
        <f t="shared" si="3"/>
        <v>632.61875985115091</v>
      </c>
      <c r="J11" s="588">
        <f t="shared" si="8"/>
        <v>2084.4526330987132</v>
      </c>
      <c r="K11" s="589">
        <f t="shared" si="4"/>
        <v>208.44526330987134</v>
      </c>
      <c r="L11" s="590">
        <f t="shared" si="5"/>
        <v>2292.8978964085845</v>
      </c>
      <c r="M11" s="425">
        <f t="shared" si="6"/>
        <v>458.57957928171692</v>
      </c>
      <c r="N11" s="591">
        <f t="shared" si="7"/>
        <v>2751.4774756903016</v>
      </c>
    </row>
    <row r="12" spans="1:14" ht="52.9" thickBot="1">
      <c r="A12" s="592">
        <v>5</v>
      </c>
      <c r="B12" s="593" t="s">
        <v>68</v>
      </c>
      <c r="C12" s="594" t="s">
        <v>244</v>
      </c>
      <c r="D12" s="595" t="s">
        <v>244</v>
      </c>
      <c r="E12" s="596">
        <v>0.69</v>
      </c>
      <c r="F12" s="597">
        <f t="shared" si="0"/>
        <v>173.29660185772804</v>
      </c>
      <c r="G12" s="598">
        <f t="shared" si="1"/>
        <v>119.57465528183234</v>
      </c>
      <c r="H12" s="598">
        <f t="shared" si="2"/>
        <v>26.306424162003115</v>
      </c>
      <c r="I12" s="598">
        <f t="shared" si="3"/>
        <v>63.565886747822063</v>
      </c>
      <c r="J12" s="598">
        <f>SUM(G12:I12)</f>
        <v>209.44696619165751</v>
      </c>
      <c r="K12" s="437">
        <f t="shared" si="4"/>
        <v>20.944696619165754</v>
      </c>
      <c r="L12" s="599">
        <f t="shared" si="5"/>
        <v>230.39166281082328</v>
      </c>
      <c r="M12" s="437">
        <f>L12*$M$7</f>
        <v>46.078332562164661</v>
      </c>
      <c r="N12" s="440">
        <f t="shared" si="7"/>
        <v>276.46999537298791</v>
      </c>
    </row>
    <row r="13" spans="1:14" ht="15">
      <c r="A13" s="444"/>
      <c r="B13" s="384"/>
      <c r="C13" s="384"/>
      <c r="D13" s="188"/>
      <c r="E13" s="188"/>
      <c r="F13" s="188"/>
      <c r="G13" s="555"/>
      <c r="H13" s="188"/>
      <c r="I13" s="188"/>
      <c r="J13" s="188"/>
      <c r="K13" s="188"/>
      <c r="L13" s="188"/>
      <c r="M13" s="188"/>
      <c r="N13" s="188"/>
    </row>
    <row r="14" spans="1:14" ht="15">
      <c r="A14" s="444"/>
      <c r="B14" s="384"/>
      <c r="C14" s="384"/>
      <c r="D14" s="188"/>
      <c r="E14" s="188"/>
      <c r="F14" s="188"/>
      <c r="G14" s="555"/>
      <c r="H14" s="188"/>
      <c r="I14" s="188"/>
      <c r="J14" s="188"/>
      <c r="K14" s="188"/>
      <c r="L14" s="188"/>
      <c r="M14" s="188"/>
      <c r="N14" s="188"/>
    </row>
  </sheetData>
  <mergeCells count="2">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dngas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Богданова Лариса Леонідівна</dc:creator>
  <cp:keywords/>
  <dc:description/>
  <cp:lastModifiedBy>User</cp:lastModifiedBy>
  <cp:revision/>
  <dcterms:created xsi:type="dcterms:W3CDTF">2016-04-29T11:55:14Z</dcterms:created>
  <dcterms:modified xsi:type="dcterms:W3CDTF">2023-10-11T07:01:50Z</dcterms:modified>
  <cp:category/>
  <cp:contentStatus/>
</cp:coreProperties>
</file>